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mza\Documents\MEM\THESIS\3. Analysis\CELLI SPA\"/>
    </mc:Choice>
  </mc:AlternateContent>
  <xr:revisionPtr revIDLastSave="0" documentId="13_ncr:1_{470B9619-CA0F-4FEB-8E4C-93F64B0FF29B}" xr6:coauthVersionLast="47" xr6:coauthVersionMax="47" xr10:uidLastSave="{00000000-0000-0000-0000-000000000000}"/>
  <bookViews>
    <workbookView xWindow="-110" yWindow="-110" windowWidth="19420" windowHeight="10300" firstSheet="1" activeTab="3" xr2:uid="{00000000-000D-0000-FFFF-FFFF00000000}"/>
  </bookViews>
  <sheets>
    <sheet name="Reclassified BS" sheetId="2" r:id="rId1"/>
    <sheet name="Profit&amp;Loss" sheetId="3" r:id="rId2"/>
    <sheet name="CashFlow" sheetId="4" r:id="rId3"/>
    <sheet name="Ratios" sheetId="5" r:id="rId4"/>
    <sheet name="Pool Bank Debt" sheetId="6" r:id="rId5"/>
    <sheet name="NetDebt" sheetId="7" r:id="rId6"/>
    <sheet name="AIDA" sheetId="1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7" l="1"/>
  <c r="F4" i="7"/>
  <c r="G4" i="7"/>
  <c r="H4" i="7"/>
  <c r="I4" i="7"/>
  <c r="D4" i="7"/>
  <c r="D3" i="7"/>
  <c r="E3" i="7"/>
  <c r="F3" i="7"/>
  <c r="G3" i="7"/>
  <c r="H3" i="7"/>
  <c r="I3" i="7"/>
  <c r="A3" i="7"/>
  <c r="D2" i="7"/>
  <c r="E2" i="7"/>
  <c r="F2" i="7"/>
  <c r="G2" i="7"/>
  <c r="H2" i="7"/>
  <c r="I2" i="7"/>
  <c r="A2" i="7"/>
  <c r="H7" i="6"/>
  <c r="I7" i="6"/>
  <c r="D7" i="6"/>
  <c r="D14" i="5"/>
  <c r="E14" i="5"/>
  <c r="F14" i="5"/>
  <c r="G14" i="5"/>
  <c r="H14" i="5"/>
  <c r="I14" i="5"/>
  <c r="D15" i="5"/>
  <c r="E15" i="5"/>
  <c r="F15" i="5"/>
  <c r="G15" i="5"/>
  <c r="H15" i="5"/>
  <c r="I15" i="5"/>
  <c r="D16" i="5"/>
  <c r="D17" i="5" s="1"/>
  <c r="E16" i="5"/>
  <c r="E17" i="5" s="1"/>
  <c r="F16" i="5"/>
  <c r="F17" i="5" s="1"/>
  <c r="G16" i="5"/>
  <c r="G17" i="5" s="1"/>
  <c r="H16" i="5"/>
  <c r="H17" i="5" s="1"/>
  <c r="I16" i="5"/>
  <c r="I17" i="5"/>
  <c r="E24" i="5"/>
  <c r="F24" i="5"/>
  <c r="G24" i="5"/>
  <c r="H24" i="5"/>
  <c r="I24" i="5"/>
  <c r="D24" i="5"/>
  <c r="E21" i="5"/>
  <c r="F21" i="5"/>
  <c r="G21" i="5"/>
  <c r="H21" i="5"/>
  <c r="I21" i="5"/>
  <c r="D21" i="5"/>
  <c r="E20" i="5"/>
  <c r="F20" i="5"/>
  <c r="G20" i="5"/>
  <c r="H20" i="5"/>
  <c r="I20" i="5"/>
  <c r="D20" i="5"/>
  <c r="E8" i="5"/>
  <c r="F8" i="5"/>
  <c r="G8" i="5"/>
  <c r="H8" i="5"/>
  <c r="I8" i="5"/>
  <c r="D8" i="5"/>
  <c r="E7" i="5"/>
  <c r="F7" i="5"/>
  <c r="G7" i="5"/>
  <c r="H7" i="5"/>
  <c r="I7" i="5"/>
  <c r="D7" i="5"/>
  <c r="E6" i="5"/>
  <c r="F6" i="5"/>
  <c r="G6" i="5"/>
  <c r="H6" i="5"/>
  <c r="I6" i="5"/>
  <c r="D6" i="5"/>
  <c r="E5" i="5"/>
  <c r="F5" i="5"/>
  <c r="G5" i="5"/>
  <c r="H5" i="5"/>
  <c r="I5" i="5"/>
  <c r="D5" i="5"/>
  <c r="E4" i="5"/>
  <c r="F4" i="5"/>
  <c r="G4" i="5"/>
  <c r="H4" i="5"/>
  <c r="I4" i="5"/>
  <c r="D4" i="5"/>
  <c r="E13" i="5"/>
  <c r="F13" i="5"/>
  <c r="G13" i="5"/>
  <c r="H13" i="5"/>
  <c r="I13" i="5"/>
  <c r="D13" i="5"/>
  <c r="E12" i="5"/>
  <c r="F12" i="5"/>
  <c r="G12" i="5"/>
  <c r="H12" i="5"/>
  <c r="I12" i="5"/>
  <c r="D12" i="5"/>
  <c r="H27" i="3" l="1"/>
  <c r="H4" i="4" s="1"/>
  <c r="G27" i="3"/>
  <c r="G4" i="4" s="1"/>
  <c r="F27" i="3"/>
  <c r="E27" i="3"/>
  <c r="E4" i="4" s="1"/>
  <c r="D27" i="3"/>
  <c r="I27" i="3"/>
  <c r="H24" i="3"/>
  <c r="H15" i="4" s="1"/>
  <c r="G24" i="3"/>
  <c r="G15" i="4" s="1"/>
  <c r="F24" i="3"/>
  <c r="E24" i="3"/>
  <c r="E15" i="4" s="1"/>
  <c r="D24" i="3"/>
  <c r="I24" i="3"/>
  <c r="H23" i="3"/>
  <c r="G23" i="3"/>
  <c r="F23" i="3"/>
  <c r="E23" i="3"/>
  <c r="D23" i="3"/>
  <c r="I23" i="3"/>
  <c r="H22" i="3"/>
  <c r="G22" i="3"/>
  <c r="F22" i="3"/>
  <c r="E22" i="3"/>
  <c r="D22" i="3"/>
  <c r="I22" i="3"/>
  <c r="H21" i="3"/>
  <c r="G21" i="3"/>
  <c r="F21" i="3"/>
  <c r="E21" i="3"/>
  <c r="D21" i="3"/>
  <c r="I21" i="3"/>
  <c r="H20" i="3"/>
  <c r="G20" i="3"/>
  <c r="F20" i="3"/>
  <c r="E20" i="3"/>
  <c r="D20" i="3"/>
  <c r="I20" i="3"/>
  <c r="H19" i="3"/>
  <c r="H11" i="4" s="1"/>
  <c r="G19" i="3"/>
  <c r="G11" i="4" s="1"/>
  <c r="F19" i="3"/>
  <c r="E19" i="3"/>
  <c r="E11" i="4" s="1"/>
  <c r="D19" i="3"/>
  <c r="I19" i="3"/>
  <c r="H16" i="3"/>
  <c r="G16" i="3"/>
  <c r="F16" i="3"/>
  <c r="E16" i="3"/>
  <c r="D16" i="3"/>
  <c r="I16" i="3"/>
  <c r="H13" i="3"/>
  <c r="G13" i="3"/>
  <c r="F13" i="3"/>
  <c r="E13" i="3"/>
  <c r="D13" i="3"/>
  <c r="I13" i="3"/>
  <c r="H10" i="3"/>
  <c r="G10" i="3"/>
  <c r="F10" i="3"/>
  <c r="E10" i="3"/>
  <c r="D10" i="3"/>
  <c r="I10" i="3"/>
  <c r="H9" i="3"/>
  <c r="G9" i="3"/>
  <c r="F9" i="3"/>
  <c r="E9" i="3"/>
  <c r="D9" i="3"/>
  <c r="I9" i="3"/>
  <c r="H8" i="3"/>
  <c r="G8" i="3"/>
  <c r="F8" i="3"/>
  <c r="E8" i="3"/>
  <c r="D8" i="3"/>
  <c r="I8" i="3"/>
  <c r="H5" i="3"/>
  <c r="G5" i="3"/>
  <c r="F5" i="3"/>
  <c r="E5" i="3"/>
  <c r="D5" i="3"/>
  <c r="I5" i="3"/>
  <c r="H3" i="3"/>
  <c r="G3" i="3"/>
  <c r="F3" i="3"/>
  <c r="E3" i="3"/>
  <c r="D3" i="3"/>
  <c r="D4" i="3" s="1"/>
  <c r="I3" i="3"/>
  <c r="H33" i="2"/>
  <c r="G33" i="2"/>
  <c r="F33" i="2"/>
  <c r="E33" i="2"/>
  <c r="D33" i="2"/>
  <c r="D34" i="2" s="1"/>
  <c r="I33" i="2"/>
  <c r="H29" i="2"/>
  <c r="G29" i="2"/>
  <c r="F29" i="2"/>
  <c r="E29" i="2"/>
  <c r="D29" i="2"/>
  <c r="H28" i="2"/>
  <c r="G28" i="2"/>
  <c r="F28" i="2"/>
  <c r="E28" i="2"/>
  <c r="D28" i="2"/>
  <c r="I29" i="2"/>
  <c r="I28" i="2"/>
  <c r="H13" i="2"/>
  <c r="G13" i="2"/>
  <c r="F13" i="2"/>
  <c r="E13" i="2"/>
  <c r="D13" i="2"/>
  <c r="I13" i="2"/>
  <c r="H26" i="2"/>
  <c r="G26" i="2"/>
  <c r="F26" i="2"/>
  <c r="E26" i="2"/>
  <c r="D26" i="2"/>
  <c r="I26" i="2"/>
  <c r="H25" i="2"/>
  <c r="G25" i="2"/>
  <c r="F25" i="2"/>
  <c r="E25" i="2"/>
  <c r="D25" i="2"/>
  <c r="I25" i="2"/>
  <c r="H24" i="2"/>
  <c r="G24" i="2"/>
  <c r="F24" i="2"/>
  <c r="E24" i="2"/>
  <c r="D24" i="2"/>
  <c r="I24" i="2"/>
  <c r="H20" i="2"/>
  <c r="G20" i="2"/>
  <c r="F20" i="2"/>
  <c r="E20" i="2"/>
  <c r="D20" i="2"/>
  <c r="I20" i="2"/>
  <c r="H19" i="2"/>
  <c r="G19" i="2"/>
  <c r="F19" i="2"/>
  <c r="E19" i="2"/>
  <c r="D19" i="2"/>
  <c r="I19" i="2"/>
  <c r="H18" i="2"/>
  <c r="G18" i="2"/>
  <c r="F18" i="2"/>
  <c r="E18" i="2"/>
  <c r="D18" i="2"/>
  <c r="I18" i="2"/>
  <c r="H14" i="2"/>
  <c r="G14" i="2"/>
  <c r="F14" i="2"/>
  <c r="E14" i="2"/>
  <c r="D14" i="2"/>
  <c r="I14" i="2"/>
  <c r="H11" i="2"/>
  <c r="G11" i="2"/>
  <c r="F11" i="2"/>
  <c r="E11" i="2"/>
  <c r="D11" i="2"/>
  <c r="I11" i="2"/>
  <c r="H10" i="2"/>
  <c r="G10" i="2"/>
  <c r="F10" i="2"/>
  <c r="E10" i="2"/>
  <c r="D10" i="2"/>
  <c r="I10" i="2"/>
  <c r="H9" i="2"/>
  <c r="G9" i="2"/>
  <c r="F9" i="2"/>
  <c r="E9" i="2"/>
  <c r="D9" i="2"/>
  <c r="I9" i="2"/>
  <c r="H8" i="2"/>
  <c r="G8" i="2"/>
  <c r="F8" i="2"/>
  <c r="E8" i="2"/>
  <c r="D8" i="2"/>
  <c r="I8" i="2"/>
  <c r="H5" i="2"/>
  <c r="G5" i="2"/>
  <c r="F5" i="2"/>
  <c r="E5" i="2"/>
  <c r="D5" i="2"/>
  <c r="I5" i="2"/>
  <c r="H4" i="2"/>
  <c r="G4" i="2"/>
  <c r="F4" i="2"/>
  <c r="E4" i="2"/>
  <c r="D4" i="2"/>
  <c r="I4" i="2"/>
  <c r="I3" i="2"/>
  <c r="H3" i="2"/>
  <c r="G3" i="2"/>
  <c r="F3" i="2"/>
  <c r="E3" i="2"/>
  <c r="D3" i="2"/>
  <c r="E34" i="2" l="1"/>
  <c r="O9" i="3"/>
  <c r="N9" i="3"/>
  <c r="I11" i="4"/>
  <c r="O19" i="3"/>
  <c r="N19" i="3"/>
  <c r="N23" i="3"/>
  <c r="O23" i="3"/>
  <c r="N22" i="3"/>
  <c r="O22" i="3"/>
  <c r="K23" i="3"/>
  <c r="L23" i="3"/>
  <c r="O5" i="3"/>
  <c r="N5" i="3"/>
  <c r="N13" i="3"/>
  <c r="O13" i="3"/>
  <c r="N21" i="3"/>
  <c r="O21" i="3"/>
  <c r="I4" i="4"/>
  <c r="O27" i="3"/>
  <c r="N27" i="3"/>
  <c r="K3" i="3"/>
  <c r="L3" i="3"/>
  <c r="L10" i="3"/>
  <c r="K10" i="3"/>
  <c r="L20" i="3"/>
  <c r="K20" i="3"/>
  <c r="F11" i="4"/>
  <c r="K19" i="3"/>
  <c r="L19" i="3"/>
  <c r="K8" i="3"/>
  <c r="L8" i="3"/>
  <c r="K16" i="3"/>
  <c r="L16" i="3"/>
  <c r="L22" i="3"/>
  <c r="K22" i="3"/>
  <c r="F15" i="4"/>
  <c r="K24" i="3"/>
  <c r="L24" i="3"/>
  <c r="O8" i="3"/>
  <c r="N8" i="3"/>
  <c r="O16" i="3"/>
  <c r="N16" i="3"/>
  <c r="L9" i="3"/>
  <c r="K9" i="3"/>
  <c r="N3" i="3"/>
  <c r="O3" i="3"/>
  <c r="N10" i="3"/>
  <c r="O10" i="3"/>
  <c r="O20" i="3"/>
  <c r="N20" i="3"/>
  <c r="I15" i="4"/>
  <c r="O24" i="3"/>
  <c r="N24" i="3"/>
  <c r="K5" i="3"/>
  <c r="L5" i="3"/>
  <c r="L13" i="3"/>
  <c r="K13" i="3"/>
  <c r="L21" i="3"/>
  <c r="K21" i="3"/>
  <c r="F4" i="4"/>
  <c r="K27" i="3"/>
  <c r="L27" i="3"/>
  <c r="I34" i="2"/>
  <c r="O33" i="2"/>
  <c r="N33" i="2"/>
  <c r="N14" i="2"/>
  <c r="O14" i="2"/>
  <c r="N28" i="2"/>
  <c r="O28" i="2"/>
  <c r="K9" i="2"/>
  <c r="L9" i="2"/>
  <c r="K18" i="2"/>
  <c r="L18" i="2"/>
  <c r="K29" i="2"/>
  <c r="L29" i="2"/>
  <c r="O5" i="2"/>
  <c r="N5" i="2"/>
  <c r="O20" i="2"/>
  <c r="N20" i="2"/>
  <c r="O13" i="2"/>
  <c r="N13" i="2"/>
  <c r="N3" i="2"/>
  <c r="O3" i="2"/>
  <c r="K8" i="2"/>
  <c r="L8" i="2"/>
  <c r="K14" i="2"/>
  <c r="L14" i="2"/>
  <c r="L24" i="2"/>
  <c r="K24" i="2"/>
  <c r="N4" i="2"/>
  <c r="O4" i="2"/>
  <c r="O10" i="2"/>
  <c r="N10" i="2"/>
  <c r="O19" i="2"/>
  <c r="N19" i="2"/>
  <c r="N26" i="2"/>
  <c r="O26" i="2"/>
  <c r="K28" i="2"/>
  <c r="L28" i="2"/>
  <c r="L5" i="2"/>
  <c r="K5" i="2"/>
  <c r="K11" i="2"/>
  <c r="L11" i="2"/>
  <c r="L20" i="2"/>
  <c r="K20" i="2"/>
  <c r="L13" i="2"/>
  <c r="K13" i="2"/>
  <c r="N9" i="2"/>
  <c r="O9" i="2"/>
  <c r="N18" i="2"/>
  <c r="O18" i="2"/>
  <c r="N25" i="2"/>
  <c r="O25" i="2"/>
  <c r="E27" i="2"/>
  <c r="L3" i="2"/>
  <c r="K3" i="2"/>
  <c r="O8" i="2"/>
  <c r="N8" i="2"/>
  <c r="O24" i="2"/>
  <c r="N24" i="2"/>
  <c r="L25" i="2"/>
  <c r="K25" i="2"/>
  <c r="O29" i="2"/>
  <c r="N29" i="2"/>
  <c r="N11" i="2"/>
  <c r="O11" i="2"/>
  <c r="K4" i="2"/>
  <c r="L4" i="2"/>
  <c r="K10" i="2"/>
  <c r="L10" i="2"/>
  <c r="L19" i="2"/>
  <c r="K19" i="2"/>
  <c r="K26" i="2"/>
  <c r="L26" i="2"/>
  <c r="L33" i="2"/>
  <c r="K33" i="2"/>
  <c r="H34" i="2"/>
  <c r="G34" i="2"/>
  <c r="F34" i="2"/>
  <c r="I27" i="2"/>
  <c r="D27" i="2"/>
  <c r="G27" i="2"/>
  <c r="H27" i="2"/>
  <c r="F27" i="2"/>
  <c r="H5" i="4"/>
  <c r="G5" i="4"/>
  <c r="E8" i="4"/>
  <c r="F6" i="4"/>
  <c r="E6" i="3"/>
  <c r="E7" i="3" s="1"/>
  <c r="H7" i="4"/>
  <c r="E6" i="4"/>
  <c r="G7" i="4"/>
  <c r="F5" i="4"/>
  <c r="F8" i="4"/>
  <c r="H6" i="4"/>
  <c r="G17" i="4"/>
  <c r="I6" i="4"/>
  <c r="I5" i="4"/>
  <c r="E7" i="4"/>
  <c r="G8" i="4"/>
  <c r="I18" i="4"/>
  <c r="H17" i="4"/>
  <c r="I8" i="4"/>
  <c r="E5" i="4"/>
  <c r="G6" i="4"/>
  <c r="I7" i="4"/>
  <c r="E17" i="4"/>
  <c r="F17" i="4"/>
  <c r="F18" i="4"/>
  <c r="E18" i="4"/>
  <c r="G18" i="4"/>
  <c r="F7" i="4"/>
  <c r="I17" i="4"/>
  <c r="H18" i="4"/>
  <c r="G13" i="4"/>
  <c r="H8" i="4"/>
  <c r="F13" i="4"/>
  <c r="E13" i="4"/>
  <c r="H13" i="4"/>
  <c r="I13" i="4"/>
  <c r="I19" i="4"/>
  <c r="G19" i="4"/>
  <c r="H19" i="4"/>
  <c r="F19" i="4"/>
  <c r="E19" i="4"/>
  <c r="I4" i="3"/>
  <c r="D6" i="3"/>
  <c r="D7" i="3" s="1"/>
  <c r="G15" i="2"/>
  <c r="G4" i="3"/>
  <c r="F4" i="3"/>
  <c r="E4" i="3"/>
  <c r="H4" i="3"/>
  <c r="G6" i="3"/>
  <c r="H6" i="3"/>
  <c r="I6" i="3"/>
  <c r="F6" i="3"/>
  <c r="D15" i="2"/>
  <c r="F15" i="2"/>
  <c r="I21" i="2"/>
  <c r="H15" i="2"/>
  <c r="I12" i="2"/>
  <c r="D6" i="2"/>
  <c r="D7" i="2" s="1"/>
  <c r="E6" i="2"/>
  <c r="E12" i="2"/>
  <c r="H6" i="2"/>
  <c r="F21" i="2"/>
  <c r="H12" i="2"/>
  <c r="E21" i="2"/>
  <c r="I6" i="2"/>
  <c r="D21" i="2"/>
  <c r="E30" i="2"/>
  <c r="H30" i="2"/>
  <c r="F30" i="2"/>
  <c r="G21" i="2"/>
  <c r="F6" i="2"/>
  <c r="E15" i="2"/>
  <c r="G6" i="2"/>
  <c r="D12" i="2"/>
  <c r="F12" i="2"/>
  <c r="H21" i="2"/>
  <c r="G12" i="2"/>
  <c r="I15" i="2"/>
  <c r="G30" i="2"/>
  <c r="D30" i="2"/>
  <c r="D31" i="2" s="1"/>
  <c r="I30" i="2"/>
  <c r="K6" i="3" l="1"/>
  <c r="L6" i="3"/>
  <c r="O6" i="3"/>
  <c r="N6" i="3"/>
  <c r="L12" i="2"/>
  <c r="K12" i="2"/>
  <c r="I31" i="2"/>
  <c r="N30" i="2"/>
  <c r="O30" i="2"/>
  <c r="N6" i="2"/>
  <c r="O6" i="2"/>
  <c r="O12" i="2"/>
  <c r="N12" i="2"/>
  <c r="K6" i="2"/>
  <c r="L6" i="2"/>
  <c r="O21" i="2"/>
  <c r="N21" i="2"/>
  <c r="N15" i="2"/>
  <c r="O15" i="2"/>
  <c r="L21" i="2"/>
  <c r="K21" i="2"/>
  <c r="L15" i="2"/>
  <c r="K15" i="2"/>
  <c r="K30" i="2"/>
  <c r="L30" i="2"/>
  <c r="E31" i="2"/>
  <c r="G31" i="2"/>
  <c r="F31" i="2"/>
  <c r="H31" i="2"/>
  <c r="E7" i="2"/>
  <c r="F7" i="2"/>
  <c r="H7" i="2"/>
  <c r="G7" i="2"/>
  <c r="I7" i="2"/>
  <c r="E11" i="3"/>
  <c r="E14" i="3" s="1"/>
  <c r="E3" i="4" s="1"/>
  <c r="F9" i="4"/>
  <c r="H35" i="2"/>
  <c r="I9" i="4"/>
  <c r="I35" i="2"/>
  <c r="E35" i="2"/>
  <c r="D35" i="2"/>
  <c r="G35" i="2"/>
  <c r="H14" i="4"/>
  <c r="F35" i="2"/>
  <c r="G10" i="4"/>
  <c r="H9" i="4"/>
  <c r="G9" i="4"/>
  <c r="E9" i="4"/>
  <c r="F14" i="4"/>
  <c r="I10" i="4"/>
  <c r="F10" i="4"/>
  <c r="E10" i="4"/>
  <c r="H10" i="4"/>
  <c r="G14" i="4"/>
  <c r="I14" i="4"/>
  <c r="E14" i="4"/>
  <c r="D11" i="3"/>
  <c r="D32" i="2" s="1"/>
  <c r="G16" i="2"/>
  <c r="I11" i="3"/>
  <c r="I22" i="5" s="1"/>
  <c r="I7" i="3"/>
  <c r="H11" i="3"/>
  <c r="H32" i="2" s="1"/>
  <c r="H7" i="3"/>
  <c r="F11" i="3"/>
  <c r="F7" i="3"/>
  <c r="G11" i="3"/>
  <c r="G32" i="2" s="1"/>
  <c r="G7" i="3"/>
  <c r="D16" i="2"/>
  <c r="I16" i="2"/>
  <c r="F16" i="2"/>
  <c r="H16" i="2"/>
  <c r="E16" i="2"/>
  <c r="F32" i="2" l="1"/>
  <c r="L11" i="3"/>
  <c r="K11" i="3"/>
  <c r="N11" i="3"/>
  <c r="O11" i="3"/>
  <c r="L16" i="2"/>
  <c r="K16" i="2"/>
  <c r="N35" i="2"/>
  <c r="O35" i="2"/>
  <c r="O16" i="2"/>
  <c r="N16" i="2"/>
  <c r="K35" i="2"/>
  <c r="L35" i="2"/>
  <c r="D22" i="2"/>
  <c r="D23" i="2" s="1"/>
  <c r="D17" i="2"/>
  <c r="G22" i="2"/>
  <c r="G37" i="2" s="1"/>
  <c r="G17" i="2"/>
  <c r="I22" i="2"/>
  <c r="I17" i="2"/>
  <c r="E22" i="2"/>
  <c r="E17" i="2"/>
  <c r="H22" i="2"/>
  <c r="H17" i="2"/>
  <c r="F22" i="2"/>
  <c r="F17" i="2"/>
  <c r="D22" i="5"/>
  <c r="I32" i="2"/>
  <c r="I23" i="5"/>
  <c r="E22" i="5"/>
  <c r="H22" i="5"/>
  <c r="F22" i="5"/>
  <c r="G22" i="5"/>
  <c r="E32" i="2"/>
  <c r="L32" i="2" s="1"/>
  <c r="E12" i="3"/>
  <c r="D14" i="3"/>
  <c r="D17" i="3" s="1"/>
  <c r="D12" i="3"/>
  <c r="E12" i="4"/>
  <c r="E16" i="4" s="1"/>
  <c r="F14" i="3"/>
  <c r="F12" i="3"/>
  <c r="H14" i="3"/>
  <c r="H3" i="4" s="1"/>
  <c r="H12" i="4" s="1"/>
  <c r="H16" i="4" s="1"/>
  <c r="H12" i="3"/>
  <c r="G14" i="3"/>
  <c r="G3" i="4" s="1"/>
  <c r="G12" i="4" s="1"/>
  <c r="G16" i="4" s="1"/>
  <c r="G12" i="3"/>
  <c r="I14" i="3"/>
  <c r="I12" i="3"/>
  <c r="E17" i="3"/>
  <c r="E15" i="3"/>
  <c r="F3" i="4" l="1"/>
  <c r="K14" i="3"/>
  <c r="L14" i="3"/>
  <c r="I3" i="4"/>
  <c r="N14" i="3"/>
  <c r="O14" i="3"/>
  <c r="K22" i="2"/>
  <c r="L22" i="2"/>
  <c r="H23" i="2"/>
  <c r="F37" i="2"/>
  <c r="K32" i="2"/>
  <c r="O32" i="2"/>
  <c r="N32" i="2"/>
  <c r="N22" i="2"/>
  <c r="O22" i="2"/>
  <c r="D37" i="2"/>
  <c r="H37" i="2"/>
  <c r="I37" i="2"/>
  <c r="I23" i="2"/>
  <c r="E37" i="2"/>
  <c r="E23" i="2"/>
  <c r="F23" i="2"/>
  <c r="G23" i="2"/>
  <c r="G20" i="4"/>
  <c r="F23" i="5"/>
  <c r="E20" i="4"/>
  <c r="D23" i="5"/>
  <c r="H20" i="4"/>
  <c r="G23" i="5"/>
  <c r="D15" i="3"/>
  <c r="I17" i="3"/>
  <c r="I15" i="3"/>
  <c r="G17" i="3"/>
  <c r="G15" i="3"/>
  <c r="H17" i="3"/>
  <c r="H15" i="3"/>
  <c r="E25" i="3"/>
  <c r="E18" i="3"/>
  <c r="D18" i="3"/>
  <c r="D25" i="3"/>
  <c r="F17" i="3"/>
  <c r="F15" i="3"/>
  <c r="O17" i="3" l="1"/>
  <c r="N17" i="3"/>
  <c r="I12" i="4"/>
  <c r="O3" i="4"/>
  <c r="N3" i="4"/>
  <c r="K17" i="3"/>
  <c r="L17" i="3"/>
  <c r="F12" i="4"/>
  <c r="L3" i="4"/>
  <c r="K3" i="4"/>
  <c r="E28" i="3"/>
  <c r="E26" i="3"/>
  <c r="H25" i="3"/>
  <c r="H18" i="3"/>
  <c r="F25" i="3"/>
  <c r="F18" i="3"/>
  <c r="G25" i="3"/>
  <c r="G18" i="3"/>
  <c r="D28" i="3"/>
  <c r="D29" i="3" s="1"/>
  <c r="D26" i="3"/>
  <c r="I25" i="3"/>
  <c r="I18" i="3"/>
  <c r="O25" i="3" l="1"/>
  <c r="N25" i="3"/>
  <c r="I16" i="4"/>
  <c r="O12" i="4"/>
  <c r="N12" i="4"/>
  <c r="F16" i="4"/>
  <c r="K12" i="4"/>
  <c r="L12" i="4"/>
  <c r="K25" i="3"/>
  <c r="L25" i="3"/>
  <c r="E29" i="3"/>
  <c r="E21" i="4"/>
  <c r="E22" i="4" s="1"/>
  <c r="E24" i="4" s="1"/>
  <c r="E26" i="4" s="1"/>
  <c r="F28" i="3"/>
  <c r="F26" i="3"/>
  <c r="I28" i="3"/>
  <c r="I26" i="3"/>
  <c r="H28" i="3"/>
  <c r="H26" i="3"/>
  <c r="G28" i="3"/>
  <c r="G26" i="3"/>
  <c r="I20" i="4" l="1"/>
  <c r="O16" i="4"/>
  <c r="N16" i="4"/>
  <c r="H23" i="5"/>
  <c r="O28" i="3"/>
  <c r="N28" i="3"/>
  <c r="F20" i="4"/>
  <c r="K16" i="4"/>
  <c r="E23" i="5"/>
  <c r="L16" i="4"/>
  <c r="L28" i="3"/>
  <c r="K28" i="3"/>
  <c r="G29" i="3"/>
  <c r="G21" i="4"/>
  <c r="G22" i="4" s="1"/>
  <c r="G24" i="4" s="1"/>
  <c r="G26" i="4" s="1"/>
  <c r="H29" i="3"/>
  <c r="H21" i="4"/>
  <c r="H22" i="4" s="1"/>
  <c r="H24" i="4" s="1"/>
  <c r="H26" i="4" s="1"/>
  <c r="I29" i="3"/>
  <c r="I21" i="4"/>
  <c r="I22" i="4" s="1"/>
  <c r="I24" i="4" s="1"/>
  <c r="F29" i="3"/>
  <c r="F21" i="4"/>
  <c r="F22" i="4" l="1"/>
  <c r="F24" i="4" s="1"/>
  <c r="K24" i="4" s="1"/>
  <c r="K20" i="4"/>
  <c r="L20" i="4"/>
  <c r="O20" i="4"/>
  <c r="N20" i="4"/>
  <c r="I26" i="4"/>
  <c r="N24" i="4"/>
  <c r="O24" i="4"/>
  <c r="F26" i="4"/>
  <c r="L24" i="4"/>
</calcChain>
</file>

<file path=xl/sharedStrings.xml><?xml version="1.0" encoding="utf-8"?>
<sst xmlns="http://schemas.openxmlformats.org/spreadsheetml/2006/main" count="473" uniqueCount="412">
  <si>
    <t>Balance sheet</t>
  </si>
  <si>
    <t>Consolidated</t>
  </si>
  <si>
    <t>31/12/2022
EUR</t>
  </si>
  <si>
    <t>31/12/2021
EUR</t>
  </si>
  <si>
    <t>31/12/2020
EUR</t>
  </si>
  <si>
    <t>31/12/2019
EUR</t>
  </si>
  <si>
    <t>31/12/2018
EUR</t>
  </si>
  <si>
    <t>31/12/2017
EUR</t>
  </si>
  <si>
    <t>12 months
Detailed
ICS</t>
  </si>
  <si>
    <t>Assets</t>
  </si>
  <si>
    <t xml:space="preserve"> A. TOTAL receivables due from shareholders</t>
  </si>
  <si>
    <t xml:space="preserve">   Called share capital</t>
  </si>
  <si>
    <t xml:space="preserve"> B. TOTAL FIXED ASSETS</t>
  </si>
  <si>
    <t xml:space="preserve">  B.I. TOTAL INTANGIBLE FIXED ASSETS</t>
  </si>
  <si>
    <t xml:space="preserve">   B.I.1. Start-up and expansion costs</t>
  </si>
  <si>
    <t xml:space="preserve">   B.I.2. Research and dev. exp.</t>
  </si>
  <si>
    <t xml:space="preserve">   B.I.3. Ind. patents and intellect. property rights</t>
  </si>
  <si>
    <t xml:space="preserve">   B.I.4. Concessions, licenses, trademarks and similar rights</t>
  </si>
  <si>
    <t xml:space="preserve">   B.I.5. Goodwill/Consolidation Difference</t>
  </si>
  <si>
    <t xml:space="preserve">    including: Goodwill</t>
  </si>
  <si>
    <t xml:space="preserve">   B.I.6. Additions in progress and advances</t>
  </si>
  <si>
    <t xml:space="preserve">   B.I.7. Others</t>
  </si>
  <si>
    <t xml:space="preserve">   (Amortization provision)</t>
  </si>
  <si>
    <t xml:space="preserve">  B.II. TOTAL TANGIBLE FIXED ASSETS</t>
  </si>
  <si>
    <t xml:space="preserve">    including: leased tangible assets</t>
  </si>
  <si>
    <t xml:space="preserve">   B.II.1. Land and buildings</t>
  </si>
  <si>
    <t xml:space="preserve">   B.II.2. Plant and machinery</t>
  </si>
  <si>
    <t xml:space="preserve">   B.II.3. Indust. and commercial equipment</t>
  </si>
  <si>
    <t xml:space="preserve">   B.II.4. Other assets</t>
  </si>
  <si>
    <t xml:space="preserve">   B.II.5. Additions in progress and advances</t>
  </si>
  <si>
    <t xml:space="preserve">   (Depreciation provision)</t>
  </si>
  <si>
    <t xml:space="preserve">  B.III. TOTAL FINANCIAL FIXED ASSETS</t>
  </si>
  <si>
    <t xml:space="preserve">    including: short term</t>
  </si>
  <si>
    <t xml:space="preserve">   B.III.1. Total equity investments</t>
  </si>
  <si>
    <t xml:space="preserve">    B.III.1.a. Subsidiary companies</t>
  </si>
  <si>
    <t xml:space="preserve">    B.III.1.b. Associated companies</t>
  </si>
  <si>
    <t xml:space="preserve">    B.III.1.c. Parent companies</t>
  </si>
  <si>
    <t xml:space="preserve">    B.III.1.d. Companies under parent companies control</t>
  </si>
  <si>
    <t xml:space="preserve">    B.III.1.d.bis. Other companies</t>
  </si>
  <si>
    <t xml:space="preserve">   B.III.2. Total Receivables</t>
  </si>
  <si>
    <t xml:space="preserve">    B.III.2.a. Due from subsidiary comp.</t>
  </si>
  <si>
    <t xml:space="preserve">    B.III.2.a. Due from subs. comp. - beyond 12 months</t>
  </si>
  <si>
    <t xml:space="preserve">    B.III.2.b. Due from assoc. comp.</t>
  </si>
  <si>
    <t xml:space="preserve">    B.III.2.b. Due from assoc. comp. - beyond 12 months</t>
  </si>
  <si>
    <t xml:space="preserve">    B.III.2.c. Due from parent comp.</t>
  </si>
  <si>
    <t xml:space="preserve">    B.III.2.c. Due from parent comp. - beyond 12 months</t>
  </si>
  <si>
    <t xml:space="preserve">    B.III.2.d. Due from comp. under parent companies control</t>
  </si>
  <si>
    <t xml:space="preserve">    B.III.2.d. Due from comp. under parent companies control - beyond 12 months</t>
  </si>
  <si>
    <t xml:space="preserve">    B.III.2.d.bis. Due from other comp.</t>
  </si>
  <si>
    <t xml:space="preserve">    B.III.2.d.bis Due from other comp. - beyond 12 months</t>
  </si>
  <si>
    <t xml:space="preserve">   B.III. FINANCIAL RECEIV. WITHIN 12 MONTHS</t>
  </si>
  <si>
    <t xml:space="preserve">   B.III. FINANCIAL RECEIV. BEYOND 12 MONTHS</t>
  </si>
  <si>
    <t xml:space="preserve">   B.III.3. Other securities</t>
  </si>
  <si>
    <t xml:space="preserve">   B.III.3.bis. Own shares</t>
  </si>
  <si>
    <t xml:space="preserve">   B.III.4. Derivatives</t>
  </si>
  <si>
    <t xml:space="preserve">   Own shares: par value</t>
  </si>
  <si>
    <t xml:space="preserve"> C. TOTAL CURRENT ASSETS</t>
  </si>
  <si>
    <t xml:space="preserve">  C.I. TOTAL INVENTORIES</t>
  </si>
  <si>
    <t xml:space="preserve">   C.I.1. Raw and consumable materials</t>
  </si>
  <si>
    <t xml:space="preserve">   C.I.2. Work in progress and semifinished products</t>
  </si>
  <si>
    <t xml:space="preserve">   C.I.3. Contract work in progress</t>
  </si>
  <si>
    <t xml:space="preserve">   C.I.4. Finished products and goods</t>
  </si>
  <si>
    <t xml:space="preserve">   C.I.5. Advances</t>
  </si>
  <si>
    <t xml:space="preserve">   Tangible fixed assets to be sold</t>
  </si>
  <si>
    <t xml:space="preserve">  C.II. TOTAL RECEIVABLES</t>
  </si>
  <si>
    <t xml:space="preserve">   C.II.1. Trade accounts</t>
  </si>
  <si>
    <t xml:space="preserve">   C.II.1. Trade accounts - beyond 12 months</t>
  </si>
  <si>
    <t xml:space="preserve">   C.II.2. Due from subs. comp.</t>
  </si>
  <si>
    <t xml:space="preserve">   C.II.2. Due from subs. comp. - beyond 12 months</t>
  </si>
  <si>
    <t xml:space="preserve">   C.II.3. Due from assoc. comp.</t>
  </si>
  <si>
    <t xml:space="preserve">   C.II.3. Due from assoc. comp. - beyond 12 months</t>
  </si>
  <si>
    <t xml:space="preserve">   C.II.4. Due from parent comp.</t>
  </si>
  <si>
    <t xml:space="preserve">   C.II.4. Due from parent comp. - beyond 12 months</t>
  </si>
  <si>
    <t xml:space="preserve">   C.II.5. Due from comp. under parent companies control</t>
  </si>
  <si>
    <t xml:space="preserve">   C.II.5. Due from comp. under parent companies control - beyond 12 months</t>
  </si>
  <si>
    <t xml:space="preserve">   C.II.5.bis. Tax receivables</t>
  </si>
  <si>
    <t xml:space="preserve">   C.II.5.bis. Tax receiv. - beyond 12 months</t>
  </si>
  <si>
    <t xml:space="preserve">   C.II.5.ter. Tax receiv. for prepaid taxes</t>
  </si>
  <si>
    <t xml:space="preserve">   C.II.5.ter. Tax receiv. for prepaid taxes - beyond 12 months</t>
  </si>
  <si>
    <t xml:space="preserve">   C.II.5.quater. Receiv. due from others</t>
  </si>
  <si>
    <t xml:space="preserve">   C.II.5.quater. Receiv. due from others - beyond 12 months</t>
  </si>
  <si>
    <t xml:space="preserve">   C.II. RECEIV. DUE WITHIN 12 MONTHS</t>
  </si>
  <si>
    <t xml:space="preserve">   Amounts due for advance taxation</t>
  </si>
  <si>
    <t xml:space="preserve">   C.II. RECEIV. DUE BEYOND 12 MONTHS</t>
  </si>
  <si>
    <t xml:space="preserve">  C.III. TOTAL FINANCIAL ASSETS</t>
  </si>
  <si>
    <t xml:space="preserve">   C.III.1. Invest. in subs. comp.</t>
  </si>
  <si>
    <t xml:space="preserve">   C.III.2. Invest. in assoc. comp.</t>
  </si>
  <si>
    <t xml:space="preserve">   C.III.3. Invest. in parent comp.</t>
  </si>
  <si>
    <t xml:space="preserve">   C.III.3.bis. Invest. in comp. under parent companies control</t>
  </si>
  <si>
    <t xml:space="preserve">   C.III.4. Other investments</t>
  </si>
  <si>
    <t xml:space="preserve">   C.III.4.bis. Own shares</t>
  </si>
  <si>
    <t xml:space="preserve">   C.III.5. Derivatives</t>
  </si>
  <si>
    <t xml:space="preserve">   C.III.6. Other securities</t>
  </si>
  <si>
    <t xml:space="preserve">   C.III.7. Financial instruments for cash pooling</t>
  </si>
  <si>
    <t xml:space="preserve">  C.IV. TOTAL LIQUID FUNDS</t>
  </si>
  <si>
    <t xml:space="preserve">   C.IV.1. Bank and postal deposits</t>
  </si>
  <si>
    <t xml:space="preserve">   C.IV.2. Checks</t>
  </si>
  <si>
    <t xml:space="preserve">   C.IV.3. Cash and cash equivalents</t>
  </si>
  <si>
    <t xml:space="preserve"> D. TOTAL ACCRUED INCOME AND PREPAID EXPENSES</t>
  </si>
  <si>
    <t xml:space="preserve">  Accrued income and prepaid exp.</t>
  </si>
  <si>
    <t xml:space="preserve"> TOTAL ASSETS</t>
  </si>
  <si>
    <t xml:space="preserve"> Liabilities</t>
  </si>
  <si>
    <t xml:space="preserve"> Shareholders' funds</t>
  </si>
  <si>
    <t xml:space="preserve"> A. TOTAL SHAREHOLDERS' FUNDS</t>
  </si>
  <si>
    <t xml:space="preserve">  A.I. Capital stock</t>
  </si>
  <si>
    <t xml:space="preserve">   including: Prepaid call from shareholders</t>
  </si>
  <si>
    <t xml:space="preserve">   including: Deposits for future capital increase</t>
  </si>
  <si>
    <t xml:space="preserve">   including: Deposits for  capital</t>
  </si>
  <si>
    <t xml:space="preserve">   including: Deposits for  loss covering</t>
  </si>
  <si>
    <t xml:space="preserve">  A.II. Share premium reserve</t>
  </si>
  <si>
    <t xml:space="preserve">  A.III. Revaluation reserves</t>
  </si>
  <si>
    <t xml:space="preserve">  A.IV. Legal reserve</t>
  </si>
  <si>
    <t xml:space="preserve">  A.V. Statutory reserves</t>
  </si>
  <si>
    <t xml:space="preserve">  Reserve for treasury stock</t>
  </si>
  <si>
    <t xml:space="preserve">  A.VI. Other reserves</t>
  </si>
  <si>
    <t xml:space="preserve">  GROUP consolidation reserve</t>
  </si>
  <si>
    <t xml:space="preserve">  A.VII. Reserve for expected cash flow hedge</t>
  </si>
  <si>
    <t xml:space="preserve">  A.VIII. Retained earnings (losses)</t>
  </si>
  <si>
    <t xml:space="preserve">  A.IX. Profit (loss) for the year</t>
  </si>
  <si>
    <t xml:space="preserve">   Dividend down payment</t>
  </si>
  <si>
    <t xml:space="preserve">   Partial covering for loss of the year</t>
  </si>
  <si>
    <t xml:space="preserve">  A.X. Negative reserves for own shares (+/-)</t>
  </si>
  <si>
    <t xml:space="preserve">  Group capital stock and reserves</t>
  </si>
  <si>
    <t xml:space="preserve">  Minority interests in cap. and reserves</t>
  </si>
  <si>
    <t xml:space="preserve">   including: deferred taxes</t>
  </si>
  <si>
    <t xml:space="preserve">  Minority interests in profit (loss) for the year</t>
  </si>
  <si>
    <t xml:space="preserve">  MINORITY INTERESTS SHAREHOLDERS' FUNDS</t>
  </si>
  <si>
    <t xml:space="preserve"> B. TOTAL PROVISIONS FOR RISKS AND CHARGES</t>
  </si>
  <si>
    <t xml:space="preserve">  B.1. Employee pensions and similar obligations</t>
  </si>
  <si>
    <t xml:space="preserve">  B.2. Taxation (including deferred taxation)</t>
  </si>
  <si>
    <t xml:space="preserve">  B.3. Derivative liabilities</t>
  </si>
  <si>
    <t xml:space="preserve">  B.4. Other provisions</t>
  </si>
  <si>
    <t xml:space="preserve">  of which: consolidation provision</t>
  </si>
  <si>
    <t xml:space="preserve"> C. SEVERANCE INDEMNITY RESERVE</t>
  </si>
  <si>
    <t xml:space="preserve"> Payables</t>
  </si>
  <si>
    <t xml:space="preserve"> D. TOTAL PAYABLES</t>
  </si>
  <si>
    <t xml:space="preserve">  D.1. Bonds</t>
  </si>
  <si>
    <t xml:space="preserve">  D.1. Bonds beyond 12 months</t>
  </si>
  <si>
    <t xml:space="preserve">  D.2. Convertible bonds</t>
  </si>
  <si>
    <t xml:space="preserve">  D.2. Convertible bonds - beyond 12 months</t>
  </si>
  <si>
    <t xml:space="preserve">  D.3. Due to shareholders for loans</t>
  </si>
  <si>
    <t xml:space="preserve">  D.3. Due to shareholders for loans - beyond 12 months</t>
  </si>
  <si>
    <t xml:space="preserve">  D.4. Due to banks</t>
  </si>
  <si>
    <t xml:space="preserve">  D.4. Due to banks - beyond 12 months</t>
  </si>
  <si>
    <t xml:space="preserve">  D.5. Due to other lenders</t>
  </si>
  <si>
    <t xml:space="preserve">  D.5. Due to other lenders - beyond 12 months</t>
  </si>
  <si>
    <t xml:space="preserve">  D.6. Advances</t>
  </si>
  <si>
    <t xml:space="preserve">  D.6. Advances - beyond 12 months</t>
  </si>
  <si>
    <t xml:space="preserve">  D.7. Due to suppliers</t>
  </si>
  <si>
    <t xml:space="preserve">  D.7. Due to suppliers - beyond 12 months</t>
  </si>
  <si>
    <t xml:space="preserve">  D.8. Negotiable instruments</t>
  </si>
  <si>
    <t xml:space="preserve">  D.8. Negotiable instruments - beyond 12 months</t>
  </si>
  <si>
    <t xml:space="preserve">  D.9. Due to subsidiary companies</t>
  </si>
  <si>
    <t xml:space="preserve">  D.9. Due to subsidiary companies - beyond 12 months</t>
  </si>
  <si>
    <t xml:space="preserve">  D.10. Due to associated companies</t>
  </si>
  <si>
    <t xml:space="preserve">  D.10. Due to associated companies -beyond 12 months</t>
  </si>
  <si>
    <t xml:space="preserve">  D.11. Due to parent companies</t>
  </si>
  <si>
    <t xml:space="preserve">  D.11. Due to parent companies beyond 12 months</t>
  </si>
  <si>
    <t xml:space="preserve">  D.11.bis. Due to comp. under parent companies control</t>
  </si>
  <si>
    <t xml:space="preserve">  D.11.bis. Due to comp. under parent companies control - beyond 12 month</t>
  </si>
  <si>
    <t xml:space="preserve">  D.12. Tax payable</t>
  </si>
  <si>
    <t xml:space="preserve">  D.12. Tax payable beyond 12 months</t>
  </si>
  <si>
    <t xml:space="preserve">  D.13. Due to social security institutions</t>
  </si>
  <si>
    <t xml:space="preserve">  D.13. Due to social security institutions - beyond 12 months</t>
  </si>
  <si>
    <t xml:space="preserve">  D.14. Other payables</t>
  </si>
  <si>
    <t xml:space="preserve">  D.14. Other payables beyond 12 months</t>
  </si>
  <si>
    <t xml:space="preserve">  D. Payables due within 12 months</t>
  </si>
  <si>
    <t xml:space="preserve">  D. Payables due beyond 12 months</t>
  </si>
  <si>
    <t xml:space="preserve">  Total payables during period</t>
  </si>
  <si>
    <t xml:space="preserve">  Total payables after period</t>
  </si>
  <si>
    <t xml:space="preserve"> E. TOTAL ACCRUED EXPENSES AND DEFERRED INCOME</t>
  </si>
  <si>
    <t xml:space="preserve">  Fees on loans</t>
  </si>
  <si>
    <t xml:space="preserve"> TOTAL LIABILITIES AND SHAREHOLDERS' FUNDS</t>
  </si>
  <si>
    <t xml:space="preserve"> TOTAL MEMORANDUM ACCOUNTS</t>
  </si>
  <si>
    <t xml:space="preserve">  TOTAL WARRANTIES SUPPLIED</t>
  </si>
  <si>
    <t>Profit and loss account</t>
  </si>
  <si>
    <t xml:space="preserve"> A. TOTAL VALUE OF PRODUCTION</t>
  </si>
  <si>
    <t xml:space="preserve">  A.1. Revenues from sales and services</t>
  </si>
  <si>
    <t xml:space="preserve">  A.2. Changes in inventories</t>
  </si>
  <si>
    <t xml:space="preserve">  A.3. Changes in contract work in progress</t>
  </si>
  <si>
    <t xml:space="preserve">  A.2. + A.3. Total changes</t>
  </si>
  <si>
    <t xml:space="preserve">  A.4. Additions to fixed assets</t>
  </si>
  <si>
    <t xml:space="preserve">  A.5. Other revenue</t>
  </si>
  <si>
    <t xml:space="preserve">  operating grants</t>
  </si>
  <si>
    <t xml:space="preserve"> B. TOTAL PRODUCTION COSTS</t>
  </si>
  <si>
    <t xml:space="preserve">  B.6. Raw, consum. mat. and goods for resale</t>
  </si>
  <si>
    <t xml:space="preserve">  B.7. Services</t>
  </si>
  <si>
    <t xml:space="preserve">  B.8. Use of third parties assets</t>
  </si>
  <si>
    <t xml:space="preserve">  B.9. Total personnel costs</t>
  </si>
  <si>
    <t xml:space="preserve">   B.9.a. Wages and salaries</t>
  </si>
  <si>
    <t xml:space="preserve">   B.9.b. Social security charges</t>
  </si>
  <si>
    <t xml:space="preserve">   B.9.c. Severance indemnities</t>
  </si>
  <si>
    <t xml:space="preserve">   B.9.d. Pensions and similar obligations</t>
  </si>
  <si>
    <t xml:space="preserve">   B.9.e. Other costs</t>
  </si>
  <si>
    <t xml:space="preserve">   B.9.f. Severance indemnity + Pension + Other costs</t>
  </si>
  <si>
    <t xml:space="preserve">  B.10. Total depreciation, amortization and writedowns</t>
  </si>
  <si>
    <t xml:space="preserve">   B.10.a. Amort. of intangible fixed assets</t>
  </si>
  <si>
    <t xml:space="preserve">   B.10.b. Depr. of tangible fixed assets</t>
  </si>
  <si>
    <t xml:space="preserve">   B.10.c. Writedown of fixed assets</t>
  </si>
  <si>
    <t xml:space="preserve">   B.10.a+b+c. Depreciation, amortization and writedowns of fixed assets</t>
  </si>
  <si>
    <t xml:space="preserve">   B.10.d. Writedown of receivables</t>
  </si>
  <si>
    <t xml:space="preserve">  B.11. Change in inventory of raw and consumable materials</t>
  </si>
  <si>
    <t xml:space="preserve">  B.12. Provisions fo risks and charges</t>
  </si>
  <si>
    <t xml:space="preserve">  B.13. Other provisions</t>
  </si>
  <si>
    <t xml:space="preserve">  B.14. Other operating expenses</t>
  </si>
  <si>
    <t xml:space="preserve"> OPERATING MARGIN</t>
  </si>
  <si>
    <t xml:space="preserve"> Added Value</t>
  </si>
  <si>
    <t xml:space="preserve"> C. TOTAL FINANCIAL INCOME AND CHARGES</t>
  </si>
  <si>
    <t xml:space="preserve">  C.15. Total income from equity investments</t>
  </si>
  <si>
    <t xml:space="preserve">  of which: from subsidiaries, associated, parent cies and cies under parent cies control</t>
  </si>
  <si>
    <t xml:space="preserve">   of which: from parent companies</t>
  </si>
  <si>
    <t xml:space="preserve">   of which: from companies under parent companies control</t>
  </si>
  <si>
    <t xml:space="preserve">  C.16. Total other financial income</t>
  </si>
  <si>
    <t xml:space="preserve">   C.16.a. From financial receivables</t>
  </si>
  <si>
    <t xml:space="preserve">    of which: from subsidiaries, associated, parent cies and cies under parent cies control</t>
  </si>
  <si>
    <t xml:space="preserve">    of which: from companies under parent companies control</t>
  </si>
  <si>
    <t xml:space="preserve">   C.16.b. From securities held as fixed assets</t>
  </si>
  <si>
    <t xml:space="preserve">   C.16.c. From securities held as current assets</t>
  </si>
  <si>
    <t xml:space="preserve">   C.16.b+c. From securities</t>
  </si>
  <si>
    <t xml:space="preserve">   C.16.d. Income other than the above</t>
  </si>
  <si>
    <t xml:space="preserve">  C.17. Total financial charges</t>
  </si>
  <si>
    <t xml:space="preserve">   of which: from financial receivables subs and assoc.</t>
  </si>
  <si>
    <t xml:space="preserve">  C.17.bis Profit and Loss on Foreign Exchange</t>
  </si>
  <si>
    <t xml:space="preserve"> D. TOTAL FINANCIAL ASSETS ADJUSTMENTS</t>
  </si>
  <si>
    <t xml:space="preserve">  D.18. Total Revaluations</t>
  </si>
  <si>
    <t xml:space="preserve">   D.18.a. Reval. of equity investments</t>
  </si>
  <si>
    <t xml:space="preserve">   D.18.b. Reval. of other financial assets</t>
  </si>
  <si>
    <t xml:space="preserve">   D.18.c. Reval. of securities</t>
  </si>
  <si>
    <t xml:space="preserve">   D.18.d. Reval. of derivatives</t>
  </si>
  <si>
    <t xml:space="preserve">   Reval. of financial instruments for cash pooling</t>
  </si>
  <si>
    <t xml:space="preserve">  D.19. Total Writedowns</t>
  </si>
  <si>
    <t xml:space="preserve">   D.19.a. Writedowns of equity invest.</t>
  </si>
  <si>
    <t xml:space="preserve">   D.19.b. Writedowns of other fin. Ass.</t>
  </si>
  <si>
    <t xml:space="preserve">   D.19.c. Writedowns of securities</t>
  </si>
  <si>
    <t xml:space="preserve">   D.19.d. Writedowns of derivatives</t>
  </si>
  <si>
    <t xml:space="preserve">   Writedowns of financial instruments for cash pooling</t>
  </si>
  <si>
    <t xml:space="preserve"> TOTAL EXTRAORDINARY REVENUES AND CHARGES</t>
  </si>
  <si>
    <t xml:space="preserve">  Extraordinary revenues</t>
  </si>
  <si>
    <t xml:space="preserve">   of which capital gains</t>
  </si>
  <si>
    <t xml:space="preserve">  Extraordinary charges</t>
  </si>
  <si>
    <t xml:space="preserve">   of which capital losses</t>
  </si>
  <si>
    <t xml:space="preserve">   of which taxes previous period</t>
  </si>
  <si>
    <t xml:space="preserve"> PROFIT/LOSS BEFORE TAXATION</t>
  </si>
  <si>
    <t xml:space="preserve">  20. Total current, deferred and prepaid income taxes</t>
  </si>
  <si>
    <t xml:space="preserve">   Current taxes</t>
  </si>
  <si>
    <t xml:space="preserve">   Taxation related to previous years</t>
  </si>
  <si>
    <t xml:space="preserve">   Prepaid and deferred taxes</t>
  </si>
  <si>
    <t xml:space="preserve">   deferred taxation (+/-)</t>
  </si>
  <si>
    <t xml:space="preserve">   advance taxation (+/-)</t>
  </si>
  <si>
    <t xml:space="preserve">   Income (expenses) for adherence to fiscal transparency regime</t>
  </si>
  <si>
    <t xml:space="preserve">  21. PROFIT (LOSS)</t>
  </si>
  <si>
    <t xml:space="preserve">  PROFIT (LOSS) THIRD PARTIES</t>
  </si>
  <si>
    <t xml:space="preserve">  PROFIT (LOSS) GROUP</t>
  </si>
  <si>
    <t xml:space="preserve">   Employees</t>
  </si>
  <si>
    <t>Ratios</t>
  </si>
  <si>
    <t xml:space="preserve">  1. Financial indicators</t>
  </si>
  <si>
    <t xml:space="preserve">   - Liquidity ratio</t>
  </si>
  <si>
    <t xml:space="preserve">   - Current ratio</t>
  </si>
  <si>
    <t xml:space="preserve">   - Current liabilities/Tot ass.</t>
  </si>
  <si>
    <t xml:space="preserve">   - Long/med term liab/Tot ass.</t>
  </si>
  <si>
    <t xml:space="preserve">   - Tang. fixed ass./Share funds</t>
  </si>
  <si>
    <t xml:space="preserve">   - Depr./Tang. fixed assets</t>
  </si>
  <si>
    <t xml:space="preserve">   - Leverage</t>
  </si>
  <si>
    <t xml:space="preserve">   - Coverage of fixed assets</t>
  </si>
  <si>
    <t xml:space="preserve">   - Banks/Turnover</t>
  </si>
  <si>
    <t xml:space="preserve">   - Cost of debit</t>
  </si>
  <si>
    <t xml:space="preserve">   - Interest/Operating profit</t>
  </si>
  <si>
    <t xml:space="preserve">   - Interest/Turnover</t>
  </si>
  <si>
    <t xml:space="preserve">   - Solvency ratio</t>
  </si>
  <si>
    <t xml:space="preserve">   - Share funds/Liabilities</t>
  </si>
  <si>
    <t xml:space="preserve">   - Net Financial Position</t>
  </si>
  <si>
    <t xml:space="preserve">   - Debt/Equity ratio</t>
  </si>
  <si>
    <t xml:space="preserve">   - Debt/EBITDA ratio</t>
  </si>
  <si>
    <t xml:space="preserve">  2. Management ratios</t>
  </si>
  <si>
    <t xml:space="preserve">   - Total assets turnover (times)</t>
  </si>
  <si>
    <t xml:space="preserve">   - Working cap. turnover (times)</t>
  </si>
  <si>
    <t xml:space="preserve">   - Incidenza circolante operativo</t>
  </si>
  <si>
    <t xml:space="preserve">   - Stocks/Turnover (days)</t>
  </si>
  <si>
    <t xml:space="preserve">   - Stocks/Cost goods sold (days)</t>
  </si>
  <si>
    <t xml:space="preserve">   - Durata media dei crediti al lordo IVA (days)</t>
  </si>
  <si>
    <t xml:space="preserve">   - Durata media dei debiti al lordo IVA (days)</t>
  </si>
  <si>
    <t xml:space="preserve">   - Durata Ciclo Commerciale (days)</t>
  </si>
  <si>
    <t xml:space="preserve">  3. Profitability ratios</t>
  </si>
  <si>
    <t xml:space="preserve">   - EBITDA</t>
  </si>
  <si>
    <t xml:space="preserve">   - EBITDA/Vendite</t>
  </si>
  <si>
    <t xml:space="preserve">   - Return on asset (ROA)</t>
  </si>
  <si>
    <t xml:space="preserve">   - Return on investment (ROI)</t>
  </si>
  <si>
    <t xml:space="preserve">   - Return on sales (ROS)</t>
  </si>
  <si>
    <t xml:space="preserve">   - Return on equity (ROE)</t>
  </si>
  <si>
    <t xml:space="preserve">   - Net P&amp;L / Operating P&amp;L</t>
  </si>
  <si>
    <t xml:space="preserve">  4. Productivity ratios</t>
  </si>
  <si>
    <t xml:space="preserve">   - Number of employees</t>
  </si>
  <si>
    <t xml:space="preserve">   - Turnover per employee</t>
  </si>
  <si>
    <t xml:space="preserve">   - Added value per employee</t>
  </si>
  <si>
    <t xml:space="preserve">   - Staff Costs per employee</t>
  </si>
  <si>
    <t xml:space="preserve">   - Turnover/Staff Costs</t>
  </si>
  <si>
    <t xml:space="preserve">  5. Significant data</t>
  </si>
  <si>
    <t xml:space="preserve">   - Net working capital</t>
  </si>
  <si>
    <t xml:space="preserve">   - Gross profit</t>
  </si>
  <si>
    <t xml:space="preserve">   - Net short term assets</t>
  </si>
  <si>
    <t xml:space="preserve">   - Share funds - Fixed assets</t>
  </si>
  <si>
    <t xml:space="preserve">   - Cash Flow</t>
  </si>
  <si>
    <t>€m</t>
  </si>
  <si>
    <t>Property, plant &amp; equipment</t>
  </si>
  <si>
    <t>Intangible assets</t>
  </si>
  <si>
    <t>Financial assets</t>
  </si>
  <si>
    <t>Inventory</t>
  </si>
  <si>
    <t>Receivables</t>
  </si>
  <si>
    <t>Payables</t>
  </si>
  <si>
    <t>Pre-payments</t>
  </si>
  <si>
    <t>Other assets</t>
  </si>
  <si>
    <t>Other liabilities</t>
  </si>
  <si>
    <t>Severance pay fund</t>
  </si>
  <si>
    <t>Other funds</t>
  </si>
  <si>
    <t>Other non current assets / (liabilities)</t>
  </si>
  <si>
    <t>Cash</t>
  </si>
  <si>
    <t>Bank debt (&lt;12 months)</t>
  </si>
  <si>
    <t>Bank debt (&gt;12 months)</t>
  </si>
  <si>
    <t>Other debt (&lt;12 months)</t>
  </si>
  <si>
    <t>Other debt(&gt;12 months)</t>
  </si>
  <si>
    <t>Equity (including shareholders' loan)</t>
  </si>
  <si>
    <t>Total sources</t>
  </si>
  <si>
    <t>Check</t>
  </si>
  <si>
    <t>Value of production</t>
  </si>
  <si>
    <t>Yoy growth (%)</t>
  </si>
  <si>
    <t>Raw materials</t>
  </si>
  <si>
    <t>First margin</t>
  </si>
  <si>
    <t>Margin (% Value of production)</t>
  </si>
  <si>
    <t>Personnel</t>
  </si>
  <si>
    <t>Services</t>
  </si>
  <si>
    <t>Other costs</t>
  </si>
  <si>
    <t>EBITDA</t>
  </si>
  <si>
    <t>Impairment losses on receivables</t>
  </si>
  <si>
    <t>EBITDA Adj</t>
  </si>
  <si>
    <t>D&amp;A</t>
  </si>
  <si>
    <t>EBIT</t>
  </si>
  <si>
    <t>Provisions</t>
  </si>
  <si>
    <t>Financial income</t>
  </si>
  <si>
    <t>Financial expenses</t>
  </si>
  <si>
    <t>Net income / (loss) on exchange rates</t>
  </si>
  <si>
    <t>Capital gains / (write downs)</t>
  </si>
  <si>
    <t>Extraordinary income / (costs)</t>
  </si>
  <si>
    <t>EBT</t>
  </si>
  <si>
    <t>Taxes</t>
  </si>
  <si>
    <t>Net Profit</t>
  </si>
  <si>
    <t>Delta inventory</t>
  </si>
  <si>
    <t>Delta receivables</t>
  </si>
  <si>
    <t>Delta payables</t>
  </si>
  <si>
    <t>Delta pre-payments</t>
  </si>
  <si>
    <t>Delta Net Working Capital</t>
  </si>
  <si>
    <t>Delta other current assets / liabilities</t>
  </si>
  <si>
    <t>Operating Cash Flow</t>
  </si>
  <si>
    <t>Net Capex (tangible assets)</t>
  </si>
  <si>
    <t>Delta other non current assets / liabilities</t>
  </si>
  <si>
    <t>Extraordinary Items</t>
  </si>
  <si>
    <t>Delta bank debt</t>
  </si>
  <si>
    <t>Delta other debt</t>
  </si>
  <si>
    <t>Net financial gain / (expense)</t>
  </si>
  <si>
    <t>Free Cash Flow to Equity</t>
  </si>
  <si>
    <t>Delta equity</t>
  </si>
  <si>
    <t>Delta Cash</t>
  </si>
  <si>
    <t>Cash at end of period</t>
  </si>
  <si>
    <t>Profitability Ratios</t>
  </si>
  <si>
    <t>Liquidity Ratios</t>
  </si>
  <si>
    <t>Financial Ratios</t>
  </si>
  <si>
    <t>Net Debt</t>
  </si>
  <si>
    <t>NetDebt/EBITDA</t>
  </si>
  <si>
    <t>Current Ratio</t>
  </si>
  <si>
    <t>Quick Ratio</t>
  </si>
  <si>
    <t>DPO</t>
  </si>
  <si>
    <t>DSO</t>
  </si>
  <si>
    <t>DIO</t>
  </si>
  <si>
    <t>Net Working Capital (days)</t>
  </si>
  <si>
    <t>Asset Turnover</t>
  </si>
  <si>
    <t>Intererest Coverage</t>
  </si>
  <si>
    <t>Debt to Equity</t>
  </si>
  <si>
    <t>Net Debt/EBITDA</t>
  </si>
  <si>
    <t>Cash Convershion Ratio</t>
  </si>
  <si>
    <t>Cash available for debt service (FCFF)</t>
  </si>
  <si>
    <t>Return On Investment</t>
  </si>
  <si>
    <t>Return On Total Assets</t>
  </si>
  <si>
    <t>Return On Sales</t>
  </si>
  <si>
    <t>Return On Equity</t>
  </si>
  <si>
    <t>Cost Of Debt</t>
  </si>
  <si>
    <t>Cash Flow (Indirect Method)</t>
  </si>
  <si>
    <t>Profit &amp; Loss</t>
  </si>
  <si>
    <t>Reclassified Balance Sheet</t>
  </si>
  <si>
    <t>Fixed assets</t>
  </si>
  <si>
    <t>Operating working capital</t>
  </si>
  <si>
    <t>Other current assets / (liabilities)</t>
  </si>
  <si>
    <t>Net working capital</t>
  </si>
  <si>
    <t>Total other non current</t>
  </si>
  <si>
    <t>Net invested capital</t>
  </si>
  <si>
    <t>Yoy Growth %</t>
  </si>
  <si>
    <t>%</t>
  </si>
  <si>
    <t>Yoy Bank Debt Growth %</t>
  </si>
  <si>
    <t>2018/2019</t>
  </si>
  <si>
    <t>2018/2022</t>
  </si>
  <si>
    <t>Senior Facility B1 Loan</t>
  </si>
  <si>
    <t>Senior Facility B2 Loan</t>
  </si>
  <si>
    <t>Nominal value</t>
  </si>
  <si>
    <t>Issuance Date</t>
  </si>
  <si>
    <t>Due Date</t>
  </si>
  <si>
    <t>Interest Rate</t>
  </si>
  <si>
    <t xml:space="preserve">Medium-Long term </t>
  </si>
  <si>
    <t xml:space="preserve">Provided at </t>
  </si>
  <si>
    <t>Amortized Cost</t>
  </si>
  <si>
    <t>Fianacial Charges on B1 Loan</t>
  </si>
  <si>
    <t>To be Porovided</t>
  </si>
  <si>
    <t>Total</t>
  </si>
  <si>
    <t>Bank Debt Pool Financing m€</t>
  </si>
  <si>
    <t xml:space="preserve">Senior Revolving Facility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</si>
</sst>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,##0"/>
    <numFmt numFmtId="165" formatCode="#,##0.0;\(#,##0.0\);\-;@"/>
    <numFmt numFmtId="166" formatCode="#,##0.0;\(#,##0.0\);\-"/>
    <numFmt numFmtId="167" formatCode="#,##0.0000000;\(#,##0.0000000\);\-"/>
    <numFmt numFmtId="168" formatCode="#,##0.00000000;\(#,##0.00000000\);\-"/>
    <numFmt numFmtId="169" formatCode="0.0%"/>
    <numFmt numFmtId="170" formatCode="#,##0;\(#,##0\);\-"/>
  </numFmts>
  <fonts count="21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8.5"/>
      <color rgb="FF333333"/>
      <name val="Verdana"/>
      <family val="2"/>
    </font>
    <font>
      <b/>
      <sz val="8.5"/>
      <color rgb="FF003366"/>
      <name val="Verdana"/>
      <family val="2"/>
    </font>
    <font>
      <sz val="8.5"/>
      <color rgb="FF003366"/>
      <name val="Verdana"/>
      <family val="2"/>
    </font>
    <font>
      <sz val="8.5"/>
      <color rgb="FF000000"/>
      <name val="Verdana"/>
      <family val="2"/>
    </font>
    <font>
      <b/>
      <sz val="8.5"/>
      <color rgb="FF333333"/>
      <name val="Verdana"/>
      <family val="2"/>
    </font>
    <font>
      <i/>
      <sz val="8.5"/>
      <color rgb="FF333333"/>
      <name val="Verdana"/>
      <family val="2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b/>
      <sz val="10"/>
      <color theme="0"/>
      <name val="Times New Roman"/>
      <family val="1"/>
    </font>
    <font>
      <sz val="10"/>
      <color rgb="FF000000"/>
      <name val="Times New Roman"/>
      <family val="1"/>
    </font>
    <font>
      <i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i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b/>
      <sz val="10"/>
      <color rgb="FFFFFFFF"/>
      <name val="Times New Roman"/>
      <family val="1"/>
    </font>
    <font>
      <sz val="10"/>
      <name val="Times New Roman"/>
      <family val="1"/>
    </font>
    <font>
      <sz val="11"/>
      <color rgb="FF000000"/>
      <name val="Calibri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2CBEA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D1D6DC"/>
      </patternFill>
    </fill>
    <fill>
      <patternFill patternType="solid">
        <fgColor rgb="FFE4ECF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4" tint="-0.499984740745262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rgb="FF000000"/>
      </patternFill>
    </fill>
  </fills>
  <borders count="18">
    <border>
      <left/>
      <right/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858585"/>
      </top>
      <bottom style="thin">
        <color rgb="FF858585"/>
      </bottom>
      <diagonal/>
    </border>
    <border>
      <left/>
      <right/>
      <top style="thin">
        <color rgb="FF858585"/>
      </top>
      <bottom style="thin">
        <color rgb="FF858585"/>
      </bottom>
      <diagonal/>
    </border>
    <border>
      <left style="thin">
        <color rgb="FFFFFFFF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9" fillId="0" borderId="0"/>
    <xf numFmtId="0" fontId="9" fillId="0" borderId="0"/>
    <xf numFmtId="9" fontId="20" fillId="0" borderId="0" applyFont="0" applyFill="0" applyBorder="0" applyAlignment="0" applyProtection="0"/>
  </cellStyleXfs>
  <cellXfs count="15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4" borderId="4" xfId="0" applyFill="1" applyBorder="1"/>
    <xf numFmtId="0" fontId="4" fillId="4" borderId="5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right" vertical="top" wrapText="1"/>
    </xf>
    <xf numFmtId="0" fontId="0" fillId="5" borderId="4" xfId="0" applyFill="1" applyBorder="1"/>
    <xf numFmtId="0" fontId="0" fillId="5" borderId="5" xfId="0" applyFill="1" applyBorder="1"/>
    <xf numFmtId="0" fontId="2" fillId="5" borderId="5" xfId="0" applyFont="1" applyFill="1" applyBorder="1" applyAlignment="1">
      <alignment horizontal="right" vertical="top" wrapText="1"/>
    </xf>
    <xf numFmtId="0" fontId="0" fillId="6" borderId="4" xfId="0" applyFill="1" applyBorder="1"/>
    <xf numFmtId="0" fontId="6" fillId="6" borderId="5" xfId="0" applyFont="1" applyFill="1" applyBorder="1" applyAlignment="1">
      <alignment horizontal="left" vertical="top" wrapText="1"/>
    </xf>
    <xf numFmtId="0" fontId="0" fillId="6" borderId="5" xfId="0" applyFill="1" applyBorder="1"/>
    <xf numFmtId="0" fontId="0" fillId="2" borderId="4" xfId="0" applyFill="1" applyBorder="1"/>
    <xf numFmtId="0" fontId="5" fillId="2" borderId="5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right" vertical="top"/>
    </xf>
    <xf numFmtId="0" fontId="0" fillId="2" borderId="5" xfId="0" applyFill="1" applyBorder="1"/>
    <xf numFmtId="0" fontId="2" fillId="2" borderId="5" xfId="0" applyFont="1" applyFill="1" applyBorder="1" applyAlignment="1">
      <alignment horizontal="right" vertical="top" wrapText="1"/>
    </xf>
    <xf numFmtId="0" fontId="7" fillId="2" borderId="5" xfId="0" applyFont="1" applyFill="1" applyBorder="1" applyAlignment="1">
      <alignment horizontal="left" vertical="top" wrapText="1"/>
    </xf>
    <xf numFmtId="164" fontId="7" fillId="2" borderId="5" xfId="0" applyNumberFormat="1" applyFont="1" applyFill="1" applyBorder="1" applyAlignment="1">
      <alignment horizontal="right" vertical="top"/>
    </xf>
    <xf numFmtId="0" fontId="7" fillId="2" borderId="5" xfId="0" applyFont="1" applyFill="1" applyBorder="1" applyAlignment="1">
      <alignment horizontal="right" vertical="top" wrapText="1"/>
    </xf>
    <xf numFmtId="0" fontId="0" fillId="7" borderId="4" xfId="0" applyFill="1" applyBorder="1"/>
    <xf numFmtId="0" fontId="6" fillId="7" borderId="5" xfId="0" applyFont="1" applyFill="1" applyBorder="1" applyAlignment="1">
      <alignment horizontal="left" vertical="top" wrapText="1"/>
    </xf>
    <xf numFmtId="0" fontId="0" fillId="7" borderId="5" xfId="0" applyFill="1" applyBorder="1"/>
    <xf numFmtId="3" fontId="2" fillId="2" borderId="5" xfId="0" applyNumberFormat="1" applyFont="1" applyFill="1" applyBorder="1" applyAlignment="1">
      <alignment horizontal="right" vertical="top"/>
    </xf>
    <xf numFmtId="4" fontId="2" fillId="2" borderId="5" xfId="0" applyNumberFormat="1" applyFont="1" applyFill="1" applyBorder="1" applyAlignment="1">
      <alignment horizontal="right" vertical="top"/>
    </xf>
    <xf numFmtId="0" fontId="3" fillId="3" borderId="2" xfId="0" applyFont="1" applyFill="1" applyBorder="1" applyAlignment="1">
      <alignment vertical="top"/>
    </xf>
    <xf numFmtId="0" fontId="4" fillId="4" borderId="5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164" fontId="2" fillId="2" borderId="5" xfId="0" applyNumberFormat="1" applyFont="1" applyFill="1" applyBorder="1" applyAlignment="1">
      <alignment vertical="top"/>
    </xf>
    <xf numFmtId="0" fontId="0" fillId="12" borderId="4" xfId="0" applyFill="1" applyBorder="1"/>
    <xf numFmtId="0" fontId="5" fillId="12" borderId="5" xfId="0" applyFont="1" applyFill="1" applyBorder="1" applyAlignment="1">
      <alignment horizontal="left" vertical="top" wrapText="1"/>
    </xf>
    <xf numFmtId="164" fontId="2" fillId="12" borderId="5" xfId="0" applyNumberFormat="1" applyFont="1" applyFill="1" applyBorder="1" applyAlignment="1">
      <alignment horizontal="right" vertical="top"/>
    </xf>
    <xf numFmtId="0" fontId="0" fillId="12" borderId="0" xfId="0" applyFill="1"/>
    <xf numFmtId="0" fontId="10" fillId="11" borderId="0" xfId="5" applyFont="1" applyFill="1"/>
    <xf numFmtId="0" fontId="11" fillId="0" borderId="0" xfId="0" applyFont="1"/>
    <xf numFmtId="0" fontId="12" fillId="0" borderId="7" xfId="5" applyFont="1" applyBorder="1"/>
    <xf numFmtId="0" fontId="11" fillId="0" borderId="7" xfId="0" applyFont="1" applyBorder="1"/>
    <xf numFmtId="165" fontId="13" fillId="0" borderId="0" xfId="5" applyNumberFormat="1" applyFont="1"/>
    <xf numFmtId="166" fontId="11" fillId="0" borderId="0" xfId="0" applyNumberFormat="1" applyFont="1"/>
    <xf numFmtId="165" fontId="14" fillId="10" borderId="6" xfId="5" applyNumberFormat="1" applyFont="1" applyFill="1" applyBorder="1"/>
    <xf numFmtId="166" fontId="15" fillId="10" borderId="6" xfId="0" applyNumberFormat="1" applyFont="1" applyFill="1" applyBorder="1"/>
    <xf numFmtId="165" fontId="14" fillId="0" borderId="6" xfId="5" applyNumberFormat="1" applyFont="1" applyBorder="1"/>
    <xf numFmtId="166" fontId="15" fillId="0" borderId="6" xfId="0" applyNumberFormat="1" applyFont="1" applyBorder="1"/>
    <xf numFmtId="165" fontId="14" fillId="0" borderId="8" xfId="5" applyNumberFormat="1" applyFont="1" applyBorder="1"/>
    <xf numFmtId="165" fontId="14" fillId="8" borderId="6" xfId="5" applyNumberFormat="1" applyFont="1" applyFill="1" applyBorder="1"/>
    <xf numFmtId="166" fontId="11" fillId="8" borderId="6" xfId="0" applyNumberFormat="1" applyFont="1" applyFill="1" applyBorder="1"/>
    <xf numFmtId="165" fontId="16" fillId="9" borderId="0" xfId="4" applyNumberFormat="1" applyFont="1" applyFill="1" applyAlignment="1">
      <alignment horizontal="left" indent="1"/>
    </xf>
    <xf numFmtId="166" fontId="11" fillId="9" borderId="0" xfId="0" applyNumberFormat="1" applyFont="1" applyFill="1"/>
    <xf numFmtId="0" fontId="17" fillId="0" borderId="0" xfId="0" applyFont="1"/>
    <xf numFmtId="168" fontId="11" fillId="0" borderId="0" xfId="0" applyNumberFormat="1" applyFont="1"/>
    <xf numFmtId="167" fontId="11" fillId="0" borderId="0" xfId="0" applyNumberFormat="1" applyFont="1"/>
    <xf numFmtId="0" fontId="12" fillId="0" borderId="0" xfId="5" applyFont="1"/>
    <xf numFmtId="165" fontId="15" fillId="13" borderId="6" xfId="4" applyNumberFormat="1" applyFont="1" applyFill="1" applyBorder="1"/>
    <xf numFmtId="0" fontId="11" fillId="13" borderId="6" xfId="0" applyFont="1" applyFill="1" applyBorder="1"/>
    <xf numFmtId="166" fontId="15" fillId="13" borderId="6" xfId="0" applyNumberFormat="1" applyFont="1" applyFill="1" applyBorder="1"/>
    <xf numFmtId="165" fontId="17" fillId="14" borderId="0" xfId="4" applyNumberFormat="1" applyFont="1" applyFill="1" applyAlignment="1">
      <alignment horizontal="left" indent="1"/>
    </xf>
    <xf numFmtId="0" fontId="11" fillId="14" borderId="0" xfId="0" applyFont="1" applyFill="1"/>
    <xf numFmtId="169" fontId="11" fillId="14" borderId="0" xfId="0" applyNumberFormat="1" applyFont="1" applyFill="1"/>
    <xf numFmtId="165" fontId="11" fillId="0" borderId="0" xfId="4" applyNumberFormat="1" applyFont="1"/>
    <xf numFmtId="165" fontId="17" fillId="14" borderId="0" xfId="0" applyNumberFormat="1" applyFont="1" applyFill="1" applyAlignment="1">
      <alignment horizontal="left" indent="1"/>
    </xf>
    <xf numFmtId="165" fontId="11" fillId="0" borderId="0" xfId="0" applyNumberFormat="1" applyFont="1"/>
    <xf numFmtId="165" fontId="15" fillId="13" borderId="0" xfId="0" applyNumberFormat="1" applyFont="1" applyFill="1"/>
    <xf numFmtId="165" fontId="15" fillId="13" borderId="6" xfId="5" applyNumberFormat="1" applyFont="1" applyFill="1" applyBorder="1"/>
    <xf numFmtId="166" fontId="11" fillId="13" borderId="6" xfId="0" applyNumberFormat="1" applyFont="1" applyFill="1" applyBorder="1"/>
    <xf numFmtId="165" fontId="11" fillId="0" borderId="0" xfId="5" applyNumberFormat="1" applyFont="1"/>
    <xf numFmtId="165" fontId="17" fillId="0" borderId="0" xfId="3" applyNumberFormat="1" applyFont="1" applyAlignment="1">
      <alignment horizontal="left" indent="1"/>
    </xf>
    <xf numFmtId="165" fontId="15" fillId="0" borderId="8" xfId="5" quotePrefix="1" applyNumberFormat="1" applyFont="1" applyBorder="1"/>
    <xf numFmtId="0" fontId="11" fillId="0" borderId="8" xfId="0" applyFont="1" applyBorder="1"/>
    <xf numFmtId="165" fontId="15" fillId="0" borderId="8" xfId="0" applyNumberFormat="1" applyFont="1" applyBorder="1"/>
    <xf numFmtId="165" fontId="11" fillId="0" borderId="0" xfId="3" applyNumberFormat="1" applyFont="1"/>
    <xf numFmtId="0" fontId="11" fillId="0" borderId="0" xfId="5" applyFont="1"/>
    <xf numFmtId="165" fontId="15" fillId="13" borderId="6" xfId="0" applyNumberFormat="1" applyFont="1" applyFill="1" applyBorder="1"/>
    <xf numFmtId="165" fontId="15" fillId="0" borderId="0" xfId="5" applyNumberFormat="1" applyFont="1"/>
    <xf numFmtId="165" fontId="15" fillId="0" borderId="0" xfId="0" applyNumberFormat="1" applyFont="1"/>
    <xf numFmtId="165" fontId="17" fillId="0" borderId="0" xfId="0" applyNumberFormat="1" applyFont="1"/>
    <xf numFmtId="165" fontId="17" fillId="0" borderId="0" xfId="5" applyNumberFormat="1" applyFont="1"/>
    <xf numFmtId="0" fontId="18" fillId="0" borderId="0" xfId="5" applyFont="1"/>
    <xf numFmtId="164" fontId="0" fillId="2" borderId="5" xfId="0" applyNumberFormat="1" applyFill="1" applyBorder="1"/>
    <xf numFmtId="0" fontId="0" fillId="2" borderId="3" xfId="0" applyFill="1" applyBorder="1"/>
    <xf numFmtId="0" fontId="4" fillId="4" borderId="5" xfId="0" applyFont="1" applyFill="1" applyBorder="1" applyAlignment="1">
      <alignment vertical="top"/>
    </xf>
    <xf numFmtId="0" fontId="6" fillId="6" borderId="5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left" vertical="top"/>
    </xf>
    <xf numFmtId="0" fontId="5" fillId="12" borderId="5" xfId="0" applyFont="1" applyFill="1" applyBorder="1" applyAlignment="1">
      <alignment horizontal="left" vertical="top"/>
    </xf>
    <xf numFmtId="0" fontId="6" fillId="7" borderId="5" xfId="0" applyFont="1" applyFill="1" applyBorder="1" applyAlignment="1">
      <alignment horizontal="left" vertical="top"/>
    </xf>
    <xf numFmtId="0" fontId="4" fillId="4" borderId="5" xfId="0" applyFont="1" applyFill="1" applyBorder="1" applyAlignment="1">
      <alignment horizontal="left" vertical="top"/>
    </xf>
    <xf numFmtId="170" fontId="19" fillId="0" borderId="0" xfId="0" applyNumberFormat="1" applyFont="1" applyAlignment="1">
      <alignment horizontal="center"/>
    </xf>
    <xf numFmtId="166" fontId="19" fillId="0" borderId="0" xfId="0" applyNumberFormat="1" applyFont="1" applyAlignment="1">
      <alignment horizontal="center"/>
    </xf>
    <xf numFmtId="0" fontId="11" fillId="9" borderId="0" xfId="0" applyFont="1" applyFill="1"/>
    <xf numFmtId="166" fontId="19" fillId="9" borderId="0" xfId="0" applyNumberFormat="1" applyFont="1" applyFill="1" applyAlignment="1">
      <alignment horizontal="center"/>
    </xf>
    <xf numFmtId="0" fontId="11" fillId="8" borderId="0" xfId="0" applyFont="1" applyFill="1"/>
    <xf numFmtId="166" fontId="19" fillId="8" borderId="0" xfId="0" applyNumberFormat="1" applyFont="1" applyFill="1" applyAlignment="1">
      <alignment horizontal="center"/>
    </xf>
    <xf numFmtId="170" fontId="19" fillId="8" borderId="0" xfId="0" applyNumberFormat="1" applyFont="1" applyFill="1" applyAlignment="1">
      <alignment horizontal="center"/>
    </xf>
    <xf numFmtId="170" fontId="19" fillId="9" borderId="0" xfId="0" applyNumberFormat="1" applyFont="1" applyFill="1" applyAlignment="1">
      <alignment horizontal="center"/>
    </xf>
    <xf numFmtId="0" fontId="18" fillId="15" borderId="0" xfId="5" applyFont="1" applyFill="1"/>
    <xf numFmtId="165" fontId="14" fillId="10" borderId="0" xfId="5" applyNumberFormat="1" applyFont="1" applyFill="1"/>
    <xf numFmtId="165" fontId="16" fillId="9" borderId="0" xfId="5" applyNumberFormat="1" applyFont="1" applyFill="1"/>
    <xf numFmtId="166" fontId="17" fillId="9" borderId="0" xfId="0" applyNumberFormat="1" applyFont="1" applyFill="1"/>
    <xf numFmtId="9" fontId="17" fillId="9" borderId="0" xfId="8" applyFont="1" applyFill="1" applyBorder="1"/>
    <xf numFmtId="9" fontId="17" fillId="9" borderId="0" xfId="8" applyFont="1" applyFill="1"/>
    <xf numFmtId="9" fontId="17" fillId="16" borderId="0" xfId="8" applyFont="1" applyFill="1"/>
    <xf numFmtId="9" fontId="17" fillId="16" borderId="0" xfId="8" applyFont="1" applyFill="1" applyBorder="1"/>
    <xf numFmtId="0" fontId="10" fillId="11" borderId="9" xfId="5" applyFont="1" applyFill="1" applyBorder="1"/>
    <xf numFmtId="0" fontId="10" fillId="11" borderId="9" xfId="5" applyFont="1" applyFill="1" applyBorder="1" applyAlignment="1">
      <alignment horizontal="right"/>
    </xf>
    <xf numFmtId="9" fontId="11" fillId="0" borderId="0" xfId="8" applyFont="1" applyAlignment="1">
      <alignment horizontal="right"/>
    </xf>
    <xf numFmtId="9" fontId="15" fillId="10" borderId="6" xfId="8" applyFont="1" applyFill="1" applyBorder="1" applyAlignment="1">
      <alignment horizontal="right"/>
    </xf>
    <xf numFmtId="9" fontId="15" fillId="0" borderId="6" xfId="8" applyFont="1" applyBorder="1" applyAlignment="1">
      <alignment horizontal="right"/>
    </xf>
    <xf numFmtId="9" fontId="11" fillId="8" borderId="6" xfId="8" applyFont="1" applyFill="1" applyBorder="1" applyAlignment="1">
      <alignment horizontal="right"/>
    </xf>
    <xf numFmtId="9" fontId="17" fillId="9" borderId="0" xfId="8" applyFont="1" applyFill="1" applyBorder="1" applyAlignment="1">
      <alignment horizontal="right"/>
    </xf>
    <xf numFmtId="9" fontId="17" fillId="9" borderId="0" xfId="8" applyFont="1" applyFill="1" applyAlignment="1">
      <alignment horizontal="right"/>
    </xf>
    <xf numFmtId="9" fontId="11" fillId="9" borderId="0" xfId="8" applyFont="1" applyFill="1" applyAlignment="1">
      <alignment horizontal="right"/>
    </xf>
    <xf numFmtId="9" fontId="11" fillId="0" borderId="0" xfId="8" applyFont="1"/>
    <xf numFmtId="9" fontId="15" fillId="10" borderId="6" xfId="8" applyFont="1" applyFill="1" applyBorder="1"/>
    <xf numFmtId="9" fontId="15" fillId="0" borderId="6" xfId="8" applyFont="1" applyBorder="1"/>
    <xf numFmtId="9" fontId="11" fillId="8" borderId="6" xfId="8" applyFont="1" applyFill="1" applyBorder="1"/>
    <xf numFmtId="9" fontId="11" fillId="9" borderId="0" xfId="8" applyFont="1" applyFill="1"/>
    <xf numFmtId="165" fontId="14" fillId="9" borderId="0" xfId="5" applyNumberFormat="1" applyFont="1" applyFill="1"/>
    <xf numFmtId="166" fontId="15" fillId="9" borderId="0" xfId="0" applyNumberFormat="1" applyFont="1" applyFill="1"/>
    <xf numFmtId="9" fontId="15" fillId="13" borderId="6" xfId="8" applyFont="1" applyFill="1" applyBorder="1"/>
    <xf numFmtId="9" fontId="11" fillId="14" borderId="0" xfId="8" applyFont="1" applyFill="1"/>
    <xf numFmtId="9" fontId="15" fillId="13" borderId="0" xfId="8" applyFont="1" applyFill="1"/>
    <xf numFmtId="0" fontId="18" fillId="15" borderId="0" xfId="5" applyFont="1" applyFill="1" applyAlignment="1">
      <alignment horizontal="right"/>
    </xf>
    <xf numFmtId="9" fontId="15" fillId="13" borderId="0" xfId="8" applyFont="1" applyFill="1" applyBorder="1"/>
    <xf numFmtId="9" fontId="11" fillId="0" borderId="0" xfId="8" applyFont="1" applyFill="1" applyBorder="1"/>
    <xf numFmtId="9" fontId="15" fillId="0" borderId="0" xfId="8" applyFont="1" applyFill="1" applyBorder="1"/>
    <xf numFmtId="166" fontId="11" fillId="16" borderId="0" xfId="0" applyNumberFormat="1" applyFont="1" applyFill="1"/>
    <xf numFmtId="0" fontId="11" fillId="0" borderId="10" xfId="0" applyFont="1" applyBorder="1"/>
    <xf numFmtId="166" fontId="11" fillId="0" borderId="10" xfId="0" applyNumberFormat="1" applyFont="1" applyBorder="1"/>
    <xf numFmtId="14" fontId="11" fillId="0" borderId="10" xfId="0" applyNumberFormat="1" applyFont="1" applyBorder="1"/>
    <xf numFmtId="10" fontId="11" fillId="0" borderId="10" xfId="0" applyNumberFormat="1" applyFont="1" applyBorder="1"/>
    <xf numFmtId="170" fontId="11" fillId="0" borderId="10" xfId="0" applyNumberFormat="1" applyFont="1" applyBorder="1"/>
    <xf numFmtId="166" fontId="11" fillId="8" borderId="10" xfId="0" applyNumberFormat="1" applyFont="1" applyFill="1" applyBorder="1"/>
    <xf numFmtId="166" fontId="11" fillId="0" borderId="11" xfId="0" applyNumberFormat="1" applyFont="1" applyBorder="1"/>
    <xf numFmtId="14" fontId="11" fillId="0" borderId="11" xfId="0" applyNumberFormat="1" applyFont="1" applyBorder="1"/>
    <xf numFmtId="10" fontId="11" fillId="0" borderId="11" xfId="0" applyNumberFormat="1" applyFont="1" applyBorder="1"/>
    <xf numFmtId="170" fontId="11" fillId="0" borderId="11" xfId="0" applyNumberFormat="1" applyFont="1" applyBorder="1"/>
    <xf numFmtId="166" fontId="11" fillId="8" borderId="12" xfId="0" applyNumberFormat="1" applyFont="1" applyFill="1" applyBorder="1"/>
    <xf numFmtId="0" fontId="11" fillId="0" borderId="12" xfId="0" applyFont="1" applyBorder="1"/>
    <xf numFmtId="0" fontId="15" fillId="8" borderId="14" xfId="0" applyFont="1" applyFill="1" applyBorder="1"/>
    <xf numFmtId="0" fontId="11" fillId="8" borderId="7" xfId="0" applyFont="1" applyFill="1" applyBorder="1"/>
    <xf numFmtId="0" fontId="11" fillId="8" borderId="15" xfId="0" applyFont="1" applyFill="1" applyBorder="1"/>
    <xf numFmtId="0" fontId="15" fillId="0" borderId="13" xfId="0" applyFont="1" applyBorder="1"/>
    <xf numFmtId="166" fontId="11" fillId="0" borderId="15" xfId="0" applyNumberFormat="1" applyFont="1" applyBorder="1"/>
    <xf numFmtId="166" fontId="11" fillId="0" borderId="12" xfId="0" applyNumberFormat="1" applyFont="1" applyBorder="1"/>
    <xf numFmtId="0" fontId="15" fillId="0" borderId="16" xfId="0" applyFont="1" applyBorder="1"/>
    <xf numFmtId="0" fontId="11" fillId="0" borderId="6" xfId="0" applyFont="1" applyBorder="1"/>
    <xf numFmtId="0" fontId="11" fillId="0" borderId="17" xfId="0" applyFont="1" applyBorder="1"/>
    <xf numFmtId="164" fontId="2" fillId="16" borderId="5" xfId="0" applyNumberFormat="1" applyFont="1" applyFill="1" applyBorder="1" applyAlignment="1">
      <alignment horizontal="right" vertical="top"/>
    </xf>
    <xf numFmtId="164" fontId="2" fillId="5" borderId="0" xfId="0" applyNumberFormat="1" applyFont="1" applyFill="1" applyAlignment="1">
      <alignment horizontal="right" vertical="top"/>
    </xf>
    <xf numFmtId="0" fontId="11" fillId="17" borderId="6" xfId="0" applyFont="1" applyFill="1" applyBorder="1"/>
    <xf numFmtId="0" fontId="18" fillId="15" borderId="10" xfId="5" applyFont="1" applyFill="1" applyBorder="1"/>
    <xf numFmtId="0" fontId="0" fillId="0" borderId="10" xfId="0" applyBorder="1"/>
    <xf numFmtId="0" fontId="0" fillId="8" borderId="10" xfId="0" applyFill="1" applyBorder="1"/>
  </cellXfs>
  <cellStyles count="9">
    <cellStyle name="Normal" xfId="0" builtinId="0"/>
    <cellStyle name="Normal 2" xfId="1" xr:uid="{D4405088-3E59-4EAB-9ABA-D59E79B6457C}"/>
    <cellStyle name="Normal 2 2" xfId="3" xr:uid="{0991DA92-2366-415B-9257-21B9E64D0BD0}"/>
    <cellStyle name="Normal 2 3" xfId="5" xr:uid="{4B6D7B87-6536-4D33-AED5-90B7EF0AEC67}"/>
    <cellStyle name="Normal 3" xfId="4" xr:uid="{1011DAB0-4388-4478-AE45-AA1B54DC030B}"/>
    <cellStyle name="Normal 4" xfId="7" xr:uid="{3579520C-BDFA-4260-AC6E-AD846ED594B6}"/>
    <cellStyle name="Normal 7" xfId="6" xr:uid="{C9786196-88D3-46A1-AE6F-D312618CD136}"/>
    <cellStyle name="Percent" xfId="8" builtinId="5"/>
    <cellStyle name="Percent 2" xfId="2" xr:uid="{464826EA-694C-4D04-AC7C-376419EE1A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cap="all" spc="0" baseline="0">
                <a:gradFill>
                  <a:gsLst>
                    <a:gs pos="0">
                      <a:schemeClr val="dk1">
                        <a:lumMod val="50000"/>
                        <a:lumOff val="50000"/>
                      </a:schemeClr>
                    </a:gs>
                    <a:gs pos="100000">
                      <a:schemeClr val="dk1">
                        <a:lumMod val="85000"/>
                        <a:lumOff val="15000"/>
                      </a:schemeClr>
                    </a:gs>
                  </a:gsLst>
                  <a:lin ang="5400000" scaled="0"/>
                </a:gradFill>
                <a:latin typeface="+mn-lt"/>
                <a:ea typeface="+mn-ea"/>
                <a:cs typeface="+mn-cs"/>
              </a:defRPr>
            </a:pPr>
            <a:r>
              <a:rPr lang="en-US"/>
              <a:t>Net Working Capital (Days)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Ratios!$A$14</c:f>
              <c:strCache>
                <c:ptCount val="1"/>
                <c:pt idx="0">
                  <c:v>DPO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Ratios!$B$1:$I$1</c15:sqref>
                  </c15:fullRef>
                </c:ext>
              </c:extLst>
              <c:f>Ratios!$D$1:$I$1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Ratios!$B$14:$I$14</c15:sqref>
                  </c15:fullRef>
                </c:ext>
              </c:extLst>
              <c:f>Ratios!$D$14:$I$14</c:f>
              <c:numCache>
                <c:formatCode>General</c:formatCode>
                <c:ptCount val="6"/>
                <c:pt idx="0" formatCode="#,##0;\(#,##0\);\-">
                  <c:v>101.51</c:v>
                </c:pt>
                <c:pt idx="1" formatCode="#,##0;\(#,##0\);\-">
                  <c:v>102.46</c:v>
                </c:pt>
                <c:pt idx="2" formatCode="#,##0;\(#,##0\);\-">
                  <c:v>116.81</c:v>
                </c:pt>
                <c:pt idx="3" formatCode="#,##0;\(#,##0\);\-">
                  <c:v>119.17</c:v>
                </c:pt>
                <c:pt idx="4" formatCode="#,##0;\(#,##0\);\-">
                  <c:v>141.4</c:v>
                </c:pt>
                <c:pt idx="5" formatCode="#,##0;\(#,##0\);\-">
                  <c:v>113.16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C4-4CD6-B161-D6963B6DA3F9}"/>
            </c:ext>
          </c:extLst>
        </c:ser>
        <c:ser>
          <c:idx val="1"/>
          <c:order val="1"/>
          <c:tx>
            <c:strRef>
              <c:f>Ratios!$A$15</c:f>
              <c:strCache>
                <c:ptCount val="1"/>
                <c:pt idx="0">
                  <c:v>DSO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Ratios!$B$1:$I$1</c15:sqref>
                  </c15:fullRef>
                </c:ext>
              </c:extLst>
              <c:f>Ratios!$D$1:$I$1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Ratios!$B$15:$I$15</c15:sqref>
                  </c15:fullRef>
                </c:ext>
              </c:extLst>
              <c:f>Ratios!$D$15:$I$15</c:f>
              <c:numCache>
                <c:formatCode>General</c:formatCode>
                <c:ptCount val="6"/>
                <c:pt idx="0" formatCode="#,##0;\(#,##0\);\-">
                  <c:v>98.93</c:v>
                </c:pt>
                <c:pt idx="1" formatCode="#,##0;\(#,##0\);\-">
                  <c:v>108.47</c:v>
                </c:pt>
                <c:pt idx="2" formatCode="#,##0;\(#,##0\);\-">
                  <c:v>103.02</c:v>
                </c:pt>
                <c:pt idx="3" formatCode="#,##0;\(#,##0\);\-">
                  <c:v>84.41</c:v>
                </c:pt>
                <c:pt idx="4" formatCode="#,##0;\(#,##0\);\-">
                  <c:v>92.03</c:v>
                </c:pt>
                <c:pt idx="5" formatCode="#,##0;\(#,##0\);\-">
                  <c:v>77.45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C4-4CD6-B161-D6963B6DA3F9}"/>
            </c:ext>
          </c:extLst>
        </c:ser>
        <c:ser>
          <c:idx val="2"/>
          <c:order val="2"/>
          <c:tx>
            <c:strRef>
              <c:f>Ratios!$A$16</c:f>
              <c:strCache>
                <c:ptCount val="1"/>
                <c:pt idx="0">
                  <c:v>DIO</c:v>
                </c:pt>
              </c:strCache>
            </c:strRef>
          </c:tx>
          <c:spPr>
            <a:ln w="19050" cap="rnd" cmpd="sng" algn="ctr">
              <a:solidFill>
                <a:schemeClr val="accent3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Ratios!$B$1:$I$1</c15:sqref>
                  </c15:fullRef>
                </c:ext>
              </c:extLst>
              <c:f>Ratios!$D$1:$I$1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Ratios!$B$16:$I$16</c15:sqref>
                  </c15:fullRef>
                </c:ext>
              </c:extLst>
              <c:f>Ratios!$D$16:$I$16</c:f>
              <c:numCache>
                <c:formatCode>General</c:formatCode>
                <c:ptCount val="6"/>
                <c:pt idx="0" formatCode="#,##0;\(#,##0\);\-">
                  <c:v>127.36</c:v>
                </c:pt>
                <c:pt idx="1" formatCode="#,##0;\(#,##0\);\-">
                  <c:v>139.53</c:v>
                </c:pt>
                <c:pt idx="2" formatCode="#,##0;\(#,##0\);\-">
                  <c:v>140.62</c:v>
                </c:pt>
                <c:pt idx="3" formatCode="#,##0;\(#,##0\);\-">
                  <c:v>207.51</c:v>
                </c:pt>
                <c:pt idx="4" formatCode="#,##0;\(#,##0\);\-">
                  <c:v>224.37</c:v>
                </c:pt>
                <c:pt idx="5" formatCode="#,##0;\(#,##0\);\-">
                  <c:v>154.01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C4-4CD6-B161-D6963B6DA3F9}"/>
            </c:ext>
          </c:extLst>
        </c:ser>
        <c:ser>
          <c:idx val="3"/>
          <c:order val="3"/>
          <c:tx>
            <c:strRef>
              <c:f>Ratios!$A$17</c:f>
              <c:strCache>
                <c:ptCount val="1"/>
                <c:pt idx="0">
                  <c:v>Net Working Capital (days)</c:v>
                </c:pt>
              </c:strCache>
            </c:strRef>
          </c:tx>
          <c:spPr>
            <a:ln w="19050" cap="rnd" cmpd="sng" algn="ctr">
              <a:solidFill>
                <a:schemeClr val="accent4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Ratios!$B$1:$I$1</c15:sqref>
                  </c15:fullRef>
                </c:ext>
              </c:extLst>
              <c:f>Ratios!$D$1:$I$1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Ratios!$B$17:$I$17</c15:sqref>
                  </c15:fullRef>
                </c:ext>
              </c:extLst>
              <c:f>Ratios!$D$17:$I$17</c:f>
              <c:numCache>
                <c:formatCode>General</c:formatCode>
                <c:ptCount val="6"/>
                <c:pt idx="0" formatCode="#,##0.0;\(#,##0.0\);\-">
                  <c:v>124.78000000000002</c:v>
                </c:pt>
                <c:pt idx="1" formatCode="#,##0.0;\(#,##0.0\);\-">
                  <c:v>145.54000000000002</c:v>
                </c:pt>
                <c:pt idx="2" formatCode="#,##0.0;\(#,##0.0\);\-">
                  <c:v>126.82999999999998</c:v>
                </c:pt>
                <c:pt idx="3" formatCode="#,##0.0;\(#,##0.0\);\-">
                  <c:v>172.74999999999994</c:v>
                </c:pt>
                <c:pt idx="4" formatCode="#,##0.0;\(#,##0.0\);\-">
                  <c:v>174.99999999999997</c:v>
                </c:pt>
                <c:pt idx="5" formatCode="#,##0.0;\(#,##0.0\);\-">
                  <c:v>118.29999999999998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7C4-4CD6-B161-D6963B6DA3F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36218047"/>
        <c:axId val="1030429408"/>
      </c:lineChart>
      <c:catAx>
        <c:axId val="936218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429408"/>
        <c:crosses val="autoZero"/>
        <c:auto val="1"/>
        <c:lblAlgn val="ctr"/>
        <c:lblOffset val="100"/>
        <c:noMultiLvlLbl val="0"/>
      </c:catAx>
      <c:valAx>
        <c:axId val="10304294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36218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accent2"/>
                </a:solidFill>
              </a:rPr>
              <a:t>Number of Employees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Ratios!$D$1:$I$1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AIDA!$D$286:$I$286</c:f>
              <c:numCache>
                <c:formatCode>#,##0</c:formatCode>
                <c:ptCount val="6"/>
                <c:pt idx="0">
                  <c:v>370</c:v>
                </c:pt>
                <c:pt idx="1">
                  <c:v>405</c:v>
                </c:pt>
                <c:pt idx="2">
                  <c:v>472</c:v>
                </c:pt>
                <c:pt idx="3">
                  <c:v>583</c:v>
                </c:pt>
                <c:pt idx="4">
                  <c:v>658</c:v>
                </c:pt>
                <c:pt idx="5">
                  <c:v>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74-4CBC-A16E-62DCE7E4F45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5134111"/>
        <c:axId val="352272223"/>
      </c:lineChart>
      <c:catAx>
        <c:axId val="495134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272223"/>
        <c:crosses val="autoZero"/>
        <c:auto val="1"/>
        <c:lblAlgn val="ctr"/>
        <c:lblOffset val="100"/>
        <c:noMultiLvlLbl val="0"/>
      </c:catAx>
      <c:valAx>
        <c:axId val="352272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1341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127000</xdr:colOff>
      <xdr:row>0</xdr:row>
      <xdr:rowOff>46567</xdr:rowOff>
    </xdr:from>
    <xdr:to>
      <xdr:col>16</xdr:col>
      <xdr:colOff>451556</xdr:colOff>
      <xdr:row>15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B10025E-BF03-F817-C3CC-5CBCE2B976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127000</xdr:colOff>
      <xdr:row>15</xdr:row>
      <xdr:rowOff>95956</xdr:rowOff>
    </xdr:from>
    <xdr:to>
      <xdr:col>16</xdr:col>
      <xdr:colOff>451556</xdr:colOff>
      <xdr:row>30</xdr:row>
      <xdr:rowOff>87490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5DADB6-ADB4-2C60-E03A-EF426E9424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AE063-4B9B-4B99-B1DD-BF794A02CE53}">
  <dimension ref="A1:O37"/>
  <sheetViews>
    <sheetView showGridLines="0" zoomScale="90" zoomScaleNormal="90" workbookViewId="0">
      <selection activeCell="D29" sqref="D29"/>
    </sheetView>
  </sheetViews>
  <sheetFormatPr defaultRowHeight="13" x14ac:dyDescent="0.3"/>
  <cols>
    <col min="1" max="15" width="9.6328125" style="34" customWidth="1"/>
    <col min="16" max="16384" width="8.7265625" style="34"/>
  </cols>
  <sheetData>
    <row r="1" spans="1:15" ht="14.5" customHeight="1" x14ac:dyDescent="0.3">
      <c r="A1" s="33" t="s">
        <v>386</v>
      </c>
      <c r="B1" s="33"/>
      <c r="C1" s="33"/>
      <c r="D1" s="33">
        <v>2017</v>
      </c>
      <c r="E1" s="33">
        <v>2018</v>
      </c>
      <c r="F1" s="33">
        <v>2019</v>
      </c>
      <c r="G1" s="33">
        <v>2020</v>
      </c>
      <c r="H1" s="33">
        <v>2021</v>
      </c>
      <c r="I1" s="33">
        <v>2022</v>
      </c>
      <c r="K1" s="103" t="s">
        <v>396</v>
      </c>
      <c r="L1" s="104" t="s">
        <v>394</v>
      </c>
      <c r="N1" s="103" t="s">
        <v>397</v>
      </c>
      <c r="O1" s="104" t="s">
        <v>394</v>
      </c>
    </row>
    <row r="2" spans="1:15" ht="14.5" customHeight="1" x14ac:dyDescent="0.3">
      <c r="A2" s="35" t="s">
        <v>302</v>
      </c>
      <c r="B2" s="36"/>
      <c r="C2" s="36"/>
      <c r="D2" s="36"/>
      <c r="E2" s="36"/>
      <c r="F2" s="36"/>
      <c r="G2" s="36"/>
      <c r="H2" s="36"/>
      <c r="I2" s="36"/>
      <c r="K2" s="36"/>
      <c r="L2" s="36"/>
      <c r="N2" s="36"/>
      <c r="O2" s="36"/>
    </row>
    <row r="3" spans="1:15" ht="14.5" customHeight="1" x14ac:dyDescent="0.3">
      <c r="A3" s="37" t="s">
        <v>303</v>
      </c>
      <c r="B3" s="38"/>
      <c r="C3" s="38"/>
      <c r="D3" s="38">
        <f>(+AIDA!D21)/(10^6)</f>
        <v>2.701533</v>
      </c>
      <c r="E3" s="38">
        <f>(+AIDA!E21)/(10^6)</f>
        <v>3.5560939999999999</v>
      </c>
      <c r="F3" s="38">
        <f>(+AIDA!F21)/(10^6)</f>
        <v>5.2011039999999999</v>
      </c>
      <c r="G3" s="38">
        <f>(+AIDA!G21)/(10^6)</f>
        <v>7.2441959999999996</v>
      </c>
      <c r="H3" s="38">
        <f>(+AIDA!H21)/(10^6)</f>
        <v>8.615729</v>
      </c>
      <c r="I3" s="38">
        <f>(+AIDA!I21)/(10^6)</f>
        <v>9.3831950000000006</v>
      </c>
      <c r="K3" s="38">
        <f>F3-E3</f>
        <v>1.6450100000000001</v>
      </c>
      <c r="L3" s="105">
        <f>IFERROR(+F3/E3-1,"")</f>
        <v>0.46258900917692292</v>
      </c>
      <c r="N3" s="38">
        <f>I3-E3</f>
        <v>5.8271010000000008</v>
      </c>
      <c r="O3" s="112">
        <f>IFERROR(+I3/E3-1,"")</f>
        <v>1.6386240071269209</v>
      </c>
    </row>
    <row r="4" spans="1:15" ht="14.5" customHeight="1" x14ac:dyDescent="0.3">
      <c r="A4" s="37" t="s">
        <v>304</v>
      </c>
      <c r="B4" s="38"/>
      <c r="C4" s="38"/>
      <c r="D4" s="38">
        <f>(+AIDA!D10)/(10^6)</f>
        <v>27.325396000000001</v>
      </c>
      <c r="E4" s="38">
        <f>(+AIDA!E10)/(10^6)</f>
        <v>26.072248999999999</v>
      </c>
      <c r="F4" s="38">
        <f>(+AIDA!F10)/(10^6)</f>
        <v>169.51609199999999</v>
      </c>
      <c r="G4" s="38">
        <f>(+AIDA!G10)/(10^6)</f>
        <v>180.37181200000001</v>
      </c>
      <c r="H4" s="38">
        <f>(+AIDA!H10)/(10^6)</f>
        <v>186.635572</v>
      </c>
      <c r="I4" s="38">
        <f>(+AIDA!I10)/(10^6)</f>
        <v>141.09087299999999</v>
      </c>
      <c r="K4" s="38">
        <f t="shared" ref="K4:K35" si="0">F4-E4</f>
        <v>143.44384299999999</v>
      </c>
      <c r="L4" s="105">
        <f t="shared" ref="L4:L35" si="1">IFERROR(+F4/E4-1,"")</f>
        <v>5.501782489113233</v>
      </c>
      <c r="N4" s="38">
        <f t="shared" ref="N4:N35" si="2">I4-E4</f>
        <v>115.01862399999999</v>
      </c>
      <c r="O4" s="112">
        <f t="shared" ref="O4:O35" si="3">IFERROR(+I4/E4-1,"")</f>
        <v>4.4115344249742314</v>
      </c>
    </row>
    <row r="5" spans="1:15" ht="14.5" customHeight="1" x14ac:dyDescent="0.3">
      <c r="A5" s="37" t="s">
        <v>305</v>
      </c>
      <c r="B5" s="38"/>
      <c r="C5" s="38"/>
      <c r="D5" s="38">
        <f>(+AIDA!D30)/(10^6)</f>
        <v>8.4687999999999999E-2</v>
      </c>
      <c r="E5" s="38">
        <f>(+AIDA!E30)/(10^6)</f>
        <v>8.4707000000000005E-2</v>
      </c>
      <c r="F5" s="38">
        <f>(+AIDA!F30)/(10^6)</f>
        <v>0.11840000000000001</v>
      </c>
      <c r="G5" s="38">
        <f>(+AIDA!G30)/(10^6)</f>
        <v>0.32892500000000002</v>
      </c>
      <c r="H5" s="38">
        <f>(+AIDA!H30)/(10^6)</f>
        <v>0.39683299999999999</v>
      </c>
      <c r="I5" s="38">
        <f>(+AIDA!I30)/(10^6)</f>
        <v>0.47382800000000003</v>
      </c>
      <c r="K5" s="38">
        <f t="shared" si="0"/>
        <v>3.3693000000000001E-2</v>
      </c>
      <c r="L5" s="105">
        <f t="shared" si="1"/>
        <v>0.39775933511988382</v>
      </c>
      <c r="N5" s="38">
        <f t="shared" si="2"/>
        <v>0.38912100000000005</v>
      </c>
      <c r="O5" s="112">
        <f t="shared" si="3"/>
        <v>4.5937289716316245</v>
      </c>
    </row>
    <row r="6" spans="1:15" ht="14.5" customHeight="1" x14ac:dyDescent="0.3">
      <c r="A6" s="39" t="s">
        <v>387</v>
      </c>
      <c r="B6" s="40"/>
      <c r="C6" s="40"/>
      <c r="D6" s="40">
        <f>+D5+D4+D3</f>
        <v>30.111617000000003</v>
      </c>
      <c r="E6" s="40">
        <f t="shared" ref="E6" si="4">+E5+E4+E3</f>
        <v>29.713050000000003</v>
      </c>
      <c r="F6" s="40">
        <f>+F5+F4+F3</f>
        <v>174.83559599999998</v>
      </c>
      <c r="G6" s="40">
        <f>+G5+G4+G3</f>
        <v>187.94493299999999</v>
      </c>
      <c r="H6" s="40">
        <f>+H5+H4+H3</f>
        <v>195.64813399999997</v>
      </c>
      <c r="I6" s="40">
        <f>+I5+I4+I3</f>
        <v>150.94789599999999</v>
      </c>
      <c r="K6" s="40">
        <f t="shared" si="0"/>
        <v>145.12254599999997</v>
      </c>
      <c r="L6" s="106">
        <f t="shared" si="1"/>
        <v>4.8841349508044436</v>
      </c>
      <c r="N6" s="40">
        <f t="shared" si="2"/>
        <v>121.23484599999998</v>
      </c>
      <c r="O6" s="113">
        <f t="shared" si="3"/>
        <v>4.080188536686741</v>
      </c>
    </row>
    <row r="7" spans="1:15" ht="14.5" customHeight="1" x14ac:dyDescent="0.3">
      <c r="A7" s="117"/>
      <c r="B7" s="98" t="s">
        <v>393</v>
      </c>
      <c r="C7" s="118"/>
      <c r="D7" s="99" t="str">
        <f>IFERROR(+D6/#REF!-1,"")</f>
        <v/>
      </c>
      <c r="E7" s="99">
        <f t="shared" ref="E7:I7" si="5">IFERROR(+E6/D6-1,"")</f>
        <v>-1.3236320055478923E-2</v>
      </c>
      <c r="F7" s="99">
        <f t="shared" si="5"/>
        <v>4.8841349508044436</v>
      </c>
      <c r="G7" s="99">
        <f t="shared" si="5"/>
        <v>7.4980938092263694E-2</v>
      </c>
      <c r="H7" s="99">
        <f t="shared" si="5"/>
        <v>4.0986478736300791E-2</v>
      </c>
      <c r="I7" s="99">
        <f t="shared" si="5"/>
        <v>-0.22847260071491404</v>
      </c>
      <c r="K7" s="99"/>
      <c r="L7" s="109"/>
      <c r="N7" s="99"/>
      <c r="O7" s="99"/>
    </row>
    <row r="8" spans="1:15" ht="14.5" customHeight="1" x14ac:dyDescent="0.3">
      <c r="A8" s="37" t="s">
        <v>306</v>
      </c>
      <c r="B8" s="38"/>
      <c r="C8" s="38"/>
      <c r="D8" s="38">
        <f>(+AIDA!D57)/(10^6)</f>
        <v>17.770206999999999</v>
      </c>
      <c r="E8" s="38">
        <f>(+AIDA!E57)/(10^6)</f>
        <v>20.744948000000001</v>
      </c>
      <c r="F8" s="38">
        <f>(+AIDA!F57)/(10^6)</f>
        <v>22.894546999999999</v>
      </c>
      <c r="G8" s="38">
        <f>(+AIDA!G57)/(10^6)</f>
        <v>27.995094999999999</v>
      </c>
      <c r="H8" s="38">
        <f>(+AIDA!H57)/(10^6)</f>
        <v>41.095081999999998</v>
      </c>
      <c r="I8" s="38">
        <f>(+AIDA!I57)/(10^6)</f>
        <v>40.457504999999998</v>
      </c>
      <c r="K8" s="38">
        <f t="shared" si="0"/>
        <v>2.1495989999999985</v>
      </c>
      <c r="L8" s="105">
        <f t="shared" si="1"/>
        <v>0.10362036096692062</v>
      </c>
      <c r="N8" s="38">
        <f t="shared" si="2"/>
        <v>19.712556999999997</v>
      </c>
      <c r="O8" s="112">
        <f t="shared" si="3"/>
        <v>0.95023410036988265</v>
      </c>
    </row>
    <row r="9" spans="1:15" ht="14.5" customHeight="1" x14ac:dyDescent="0.3">
      <c r="A9" s="37" t="s">
        <v>307</v>
      </c>
      <c r="B9" s="38"/>
      <c r="C9" s="38"/>
      <c r="D9" s="38">
        <f>(+AIDA!D66+AIDA!D67)/(10^6)</f>
        <v>27.621148999999999</v>
      </c>
      <c r="E9" s="38">
        <f>(+AIDA!E66+AIDA!E67)/(10^6)</f>
        <v>32.632478999999996</v>
      </c>
      <c r="F9" s="38">
        <f>(+AIDA!F66+AIDA!F67)/(10^6)</f>
        <v>34.833944000000002</v>
      </c>
      <c r="G9" s="38">
        <f>(+AIDA!G66+AIDA!G67)/(10^6)</f>
        <v>24.538941999999999</v>
      </c>
      <c r="H9" s="38">
        <f>(+AIDA!H66+AIDA!H67)/(10^6)</f>
        <v>32.631199000000002</v>
      </c>
      <c r="I9" s="38">
        <f>(+AIDA!I66+AIDA!I67)/(10^6)</f>
        <v>35.822076000000003</v>
      </c>
      <c r="K9" s="38">
        <f t="shared" si="0"/>
        <v>2.201465000000006</v>
      </c>
      <c r="L9" s="105">
        <f t="shared" si="1"/>
        <v>6.746238923497061E-2</v>
      </c>
      <c r="N9" s="38">
        <f t="shared" si="2"/>
        <v>3.1895970000000062</v>
      </c>
      <c r="O9" s="112">
        <f t="shared" si="3"/>
        <v>9.7743018542967741E-2</v>
      </c>
    </row>
    <row r="10" spans="1:15" ht="14.5" customHeight="1" x14ac:dyDescent="0.3">
      <c r="A10" s="37" t="s">
        <v>308</v>
      </c>
      <c r="B10" s="38"/>
      <c r="C10" s="38"/>
      <c r="D10" s="38">
        <f>(-AIDA!D161-AIDA!D162)/(10^6)</f>
        <v>-21.119042</v>
      </c>
      <c r="E10" s="38">
        <f>(-AIDA!E161-AIDA!E162)/(10^6)</f>
        <v>-22.473284</v>
      </c>
      <c r="F10" s="38">
        <f>(-AIDA!F161-AIDA!F162)/(10^6)</f>
        <v>-27.179652999999998</v>
      </c>
      <c r="G10" s="38">
        <f>(-AIDA!G161-AIDA!G162)/(10^6)</f>
        <v>-24.543583999999999</v>
      </c>
      <c r="H10" s="38">
        <f>(-AIDA!H161-AIDA!H162)/(10^6)</f>
        <v>-36.40842</v>
      </c>
      <c r="I10" s="38">
        <f>(-AIDA!I161-AIDA!I162)/(10^6)</f>
        <v>-39.40936</v>
      </c>
      <c r="K10" s="38">
        <f t="shared" si="0"/>
        <v>-4.7063689999999987</v>
      </c>
      <c r="L10" s="105">
        <f t="shared" si="1"/>
        <v>0.20942061694232139</v>
      </c>
      <c r="N10" s="38">
        <f t="shared" si="2"/>
        <v>-16.936076</v>
      </c>
      <c r="O10" s="112">
        <f t="shared" si="3"/>
        <v>0.75360930783413771</v>
      </c>
    </row>
    <row r="11" spans="1:15" ht="14.5" customHeight="1" x14ac:dyDescent="0.3">
      <c r="A11" s="37" t="s">
        <v>309</v>
      </c>
      <c r="B11" s="38"/>
      <c r="C11" s="38"/>
      <c r="D11" s="38">
        <f>(-AIDA!D159-AIDA!D160)/(10^6)</f>
        <v>-3.4714000000000002E-2</v>
      </c>
      <c r="E11" s="38">
        <f>(-AIDA!E159-AIDA!E160)/(10^6)</f>
        <v>-6.5563999999999997E-2</v>
      </c>
      <c r="F11" s="38">
        <f>(-AIDA!F159-AIDA!F160)/(10^6)</f>
        <v>-5.4522000000000001E-2</v>
      </c>
      <c r="G11" s="38">
        <f>(-AIDA!G159-AIDA!G160)/(10^6)</f>
        <v>-9.9946999999999994E-2</v>
      </c>
      <c r="H11" s="38">
        <f>(-AIDA!H159-AIDA!H160)/(10^6)</f>
        <v>-5.0491000000000001E-2</v>
      </c>
      <c r="I11" s="38">
        <f>(-AIDA!I159-AIDA!I160)/(10^6)</f>
        <v>-0.73600299999999996</v>
      </c>
      <c r="K11" s="38">
        <f t="shared" si="0"/>
        <v>1.1041999999999996E-2</v>
      </c>
      <c r="L11" s="105">
        <f t="shared" si="1"/>
        <v>-0.16841559392349459</v>
      </c>
      <c r="N11" s="38">
        <f t="shared" si="2"/>
        <v>-0.67043900000000001</v>
      </c>
      <c r="O11" s="112">
        <f t="shared" si="3"/>
        <v>10.225718382038924</v>
      </c>
    </row>
    <row r="12" spans="1:15" ht="14.5" customHeight="1" x14ac:dyDescent="0.3">
      <c r="A12" s="41" t="s">
        <v>388</v>
      </c>
      <c r="B12" s="42"/>
      <c r="C12" s="42"/>
      <c r="D12" s="42">
        <f t="shared" ref="D12" si="6">+D11+D10+D9+D8</f>
        <v>24.237599999999997</v>
      </c>
      <c r="E12" s="42">
        <f>+E11+E10+E9+E8</f>
        <v>30.838578999999999</v>
      </c>
      <c r="F12" s="42">
        <f>+F11+F10+F9+F8</f>
        <v>30.494316000000005</v>
      </c>
      <c r="G12" s="42">
        <f>+G11+G10+G9+G8</f>
        <v>27.890505999999998</v>
      </c>
      <c r="H12" s="42">
        <f>+H11+H10+H9+H8</f>
        <v>37.26737</v>
      </c>
      <c r="I12" s="42">
        <f>+I11+I10+I9+I8</f>
        <v>36.134218000000004</v>
      </c>
      <c r="K12" s="42">
        <f t="shared" si="0"/>
        <v>-0.34426299999999443</v>
      </c>
      <c r="L12" s="107">
        <f t="shared" si="1"/>
        <v>-1.1163387262428492E-2</v>
      </c>
      <c r="N12" s="42">
        <f t="shared" si="2"/>
        <v>5.2956390000000049</v>
      </c>
      <c r="O12" s="114">
        <f t="shared" si="3"/>
        <v>0.17172123916604609</v>
      </c>
    </row>
    <row r="13" spans="1:15" ht="14.5" customHeight="1" x14ac:dyDescent="0.3">
      <c r="A13" s="37" t="s">
        <v>310</v>
      </c>
      <c r="B13" s="38"/>
      <c r="C13" s="38"/>
      <c r="D13" s="38">
        <f>(+AIDA!D86+AIDA!D65-AIDA!D66-AIDA!D67)/(10^6)</f>
        <v>1.9338960000000001</v>
      </c>
      <c r="E13" s="38">
        <f>(+AIDA!E86+AIDA!E65-AIDA!E66-AIDA!E67)/(10^6)</f>
        <v>2.7189939999999999</v>
      </c>
      <c r="F13" s="38">
        <f>(+AIDA!F86+AIDA!F65-AIDA!F66-AIDA!F67)/(10^6)</f>
        <v>5.4109610000000004</v>
      </c>
      <c r="G13" s="38">
        <f>(+AIDA!G86+AIDA!G65-AIDA!G66-AIDA!G67)/(10^6)</f>
        <v>6.2417699999999998</v>
      </c>
      <c r="H13" s="38">
        <f>(+AIDA!H86+AIDA!H65-AIDA!H66-AIDA!H67)/(10^6)</f>
        <v>9.4330350000000003</v>
      </c>
      <c r="I13" s="38">
        <f>(+AIDA!I86+AIDA!I65-AIDA!I66-AIDA!I67)/(10^6)</f>
        <v>17.358017</v>
      </c>
      <c r="K13" s="38">
        <f t="shared" si="0"/>
        <v>2.6919670000000004</v>
      </c>
      <c r="L13" s="105">
        <f t="shared" si="1"/>
        <v>0.99005992657578523</v>
      </c>
      <c r="N13" s="38">
        <f t="shared" si="2"/>
        <v>14.639023</v>
      </c>
      <c r="O13" s="112">
        <f t="shared" si="3"/>
        <v>5.3839850326995942</v>
      </c>
    </row>
    <row r="14" spans="1:15" ht="14.5" customHeight="1" x14ac:dyDescent="0.3">
      <c r="A14" s="37" t="s">
        <v>311</v>
      </c>
      <c r="B14" s="38"/>
      <c r="C14" s="38"/>
      <c r="D14" s="38">
        <f>+(-AIDA!D148+SUM(AIDA!D149:D162))/(10^6)</f>
        <v>-5.6613280000000001</v>
      </c>
      <c r="E14" s="38">
        <f>+(-AIDA!E148+SUM(AIDA!E149:E162))/(10^6)</f>
        <v>-5.35886</v>
      </c>
      <c r="F14" s="38">
        <f>+(-AIDA!F148+SUM(AIDA!F149:F162))/(10^6)</f>
        <v>-6.4028349999999996</v>
      </c>
      <c r="G14" s="38">
        <f>+(-AIDA!G148+SUM(AIDA!G149:G162))/(10^6)</f>
        <v>-5.267595</v>
      </c>
      <c r="H14" s="38">
        <f>+(-AIDA!H148+SUM(AIDA!H149:H162))/(10^6)</f>
        <v>-6.6249580000000003</v>
      </c>
      <c r="I14" s="38">
        <f>+(-AIDA!I148+SUM(AIDA!I149:I162))/(10^6)</f>
        <v>-14.946759999999999</v>
      </c>
      <c r="K14" s="38">
        <f t="shared" si="0"/>
        <v>-1.0439749999999997</v>
      </c>
      <c r="L14" s="105">
        <f t="shared" si="1"/>
        <v>0.19481288930854701</v>
      </c>
      <c r="N14" s="38">
        <f t="shared" si="2"/>
        <v>-9.5878999999999994</v>
      </c>
      <c r="O14" s="112">
        <f t="shared" si="3"/>
        <v>1.7891678453999544</v>
      </c>
    </row>
    <row r="15" spans="1:15" ht="14.5" customHeight="1" x14ac:dyDescent="0.3">
      <c r="A15" s="43" t="s">
        <v>389</v>
      </c>
      <c r="B15" s="42"/>
      <c r="C15" s="42"/>
      <c r="D15" s="42">
        <f t="shared" ref="D15" si="7">+D14+D13</f>
        <v>-3.7274320000000003</v>
      </c>
      <c r="E15" s="42">
        <f>+E14+E13</f>
        <v>-2.639866</v>
      </c>
      <c r="F15" s="42">
        <f>+F14+F13</f>
        <v>-0.99187399999999926</v>
      </c>
      <c r="G15" s="42">
        <f>+G14+G13</f>
        <v>0.97417499999999979</v>
      </c>
      <c r="H15" s="42">
        <f>+H14+H13</f>
        <v>2.8080769999999999</v>
      </c>
      <c r="I15" s="42">
        <f>+I14+I13</f>
        <v>2.4112570000000009</v>
      </c>
      <c r="K15" s="42">
        <f t="shared" si="0"/>
        <v>1.6479920000000008</v>
      </c>
      <c r="L15" s="107">
        <f t="shared" si="1"/>
        <v>-0.62427108042605228</v>
      </c>
      <c r="N15" s="42">
        <f t="shared" si="2"/>
        <v>5.0511230000000005</v>
      </c>
      <c r="O15" s="114">
        <f t="shared" si="3"/>
        <v>-1.9134012862774097</v>
      </c>
    </row>
    <row r="16" spans="1:15" ht="14.5" customHeight="1" x14ac:dyDescent="0.3">
      <c r="A16" s="96" t="s">
        <v>390</v>
      </c>
      <c r="B16" s="40"/>
      <c r="C16" s="40"/>
      <c r="D16" s="40">
        <f t="shared" ref="D16:I16" si="8">+D15+D12</f>
        <v>20.510167999999997</v>
      </c>
      <c r="E16" s="40">
        <f t="shared" si="8"/>
        <v>28.198712999999998</v>
      </c>
      <c r="F16" s="40">
        <f t="shared" si="8"/>
        <v>29.502442000000006</v>
      </c>
      <c r="G16" s="40">
        <f t="shared" si="8"/>
        <v>28.864680999999997</v>
      </c>
      <c r="H16" s="40">
        <f t="shared" si="8"/>
        <v>40.075446999999997</v>
      </c>
      <c r="I16" s="40">
        <f t="shared" si="8"/>
        <v>38.545475000000003</v>
      </c>
      <c r="K16" s="40">
        <f t="shared" si="0"/>
        <v>1.3037290000000077</v>
      </c>
      <c r="L16" s="106">
        <f t="shared" si="1"/>
        <v>4.6233634847094196E-2</v>
      </c>
      <c r="N16" s="40">
        <f t="shared" si="2"/>
        <v>10.346762000000005</v>
      </c>
      <c r="O16" s="113">
        <f t="shared" si="3"/>
        <v>0.36692319965099141</v>
      </c>
    </row>
    <row r="17" spans="1:15" ht="14.5" customHeight="1" x14ac:dyDescent="0.3">
      <c r="A17" s="97"/>
      <c r="B17" s="98" t="s">
        <v>393</v>
      </c>
      <c r="C17" s="98"/>
      <c r="D17" s="99" t="str">
        <f>IFERROR(+D16/#REF!-1,"")</f>
        <v/>
      </c>
      <c r="E17" s="99">
        <f t="shared" ref="E17:I17" si="9">IFERROR(+E16/D16-1,"")</f>
        <v>0.37486504254865216</v>
      </c>
      <c r="F17" s="99">
        <f t="shared" si="9"/>
        <v>4.6233634847094196E-2</v>
      </c>
      <c r="G17" s="99">
        <f t="shared" si="9"/>
        <v>-2.16172274823897E-2</v>
      </c>
      <c r="H17" s="99">
        <f t="shared" si="9"/>
        <v>0.38839043466304024</v>
      </c>
      <c r="I17" s="99">
        <f t="shared" si="9"/>
        <v>-3.8177290948245513E-2</v>
      </c>
      <c r="K17" s="99"/>
      <c r="L17" s="109"/>
      <c r="N17" s="99"/>
      <c r="O17" s="99"/>
    </row>
    <row r="18" spans="1:15" ht="14.5" customHeight="1" x14ac:dyDescent="0.3">
      <c r="A18" s="37" t="s">
        <v>312</v>
      </c>
      <c r="B18" s="38"/>
      <c r="C18" s="38"/>
      <c r="D18" s="38">
        <f>(-AIDA!D144)/(10^6)</f>
        <v>-1.5694300000000001</v>
      </c>
      <c r="E18" s="38">
        <f>(-AIDA!E144)/(10^6)</f>
        <v>-1.5828949999999999</v>
      </c>
      <c r="F18" s="38">
        <f>(-AIDA!F144)/(10^6)</f>
        <v>-1.933989</v>
      </c>
      <c r="G18" s="38">
        <f>(-AIDA!G144)/(10^6)</f>
        <v>-1.7339640000000001</v>
      </c>
      <c r="H18" s="38">
        <f>(-AIDA!H144)/(10^6)</f>
        <v>-1.974739</v>
      </c>
      <c r="I18" s="38">
        <f>(-AIDA!I144)/(10^6)</f>
        <v>-2.9445100000000002</v>
      </c>
      <c r="K18" s="38">
        <f t="shared" si="0"/>
        <v>-0.35109400000000002</v>
      </c>
      <c r="L18" s="105">
        <f t="shared" si="1"/>
        <v>0.22180498390607095</v>
      </c>
      <c r="N18" s="38">
        <f t="shared" si="2"/>
        <v>-1.3616150000000002</v>
      </c>
      <c r="O18" s="112">
        <f t="shared" si="3"/>
        <v>0.86020550952526875</v>
      </c>
    </row>
    <row r="19" spans="1:15" ht="14.5" customHeight="1" x14ac:dyDescent="0.3">
      <c r="A19" s="37" t="s">
        <v>313</v>
      </c>
      <c r="B19" s="38"/>
      <c r="C19" s="38"/>
      <c r="D19" s="38">
        <f>(-AIDA!D137)/(10^6)</f>
        <v>-0.47886600000000001</v>
      </c>
      <c r="E19" s="38">
        <f>(-AIDA!E137)/(10^6)</f>
        <v>-0.95549200000000001</v>
      </c>
      <c r="F19" s="38">
        <f>(-AIDA!F137)/(10^6)</f>
        <v>-0.15792600000000001</v>
      </c>
      <c r="G19" s="38">
        <f>(-AIDA!G137)/(10^6)</f>
        <v>-1.0321279999999999</v>
      </c>
      <c r="H19" s="38">
        <f>(-AIDA!H137)/(10^6)</f>
        <v>-5.7898690000000004</v>
      </c>
      <c r="I19" s="38">
        <f>(-AIDA!I137)/(10^6)</f>
        <v>-5.714925</v>
      </c>
      <c r="K19" s="38">
        <f t="shared" si="0"/>
        <v>0.797566</v>
      </c>
      <c r="L19" s="105">
        <f t="shared" si="1"/>
        <v>-0.83471761145043599</v>
      </c>
      <c r="N19" s="38">
        <f t="shared" si="2"/>
        <v>-4.7594329999999996</v>
      </c>
      <c r="O19" s="112">
        <f t="shared" si="3"/>
        <v>4.9811332800274624</v>
      </c>
    </row>
    <row r="20" spans="1:15" ht="14.5" customHeight="1" x14ac:dyDescent="0.3">
      <c r="A20" s="37" t="s">
        <v>314</v>
      </c>
      <c r="B20" s="38"/>
      <c r="C20" s="38"/>
      <c r="D20" s="38">
        <f>+(AIDA!D103-AIDA!D185)/10^6</f>
        <v>-0.483294</v>
      </c>
      <c r="E20" s="38">
        <f>+(AIDA!E103-AIDA!E185)/10^6</f>
        <v>-0.12217799999999999</v>
      </c>
      <c r="F20" s="38">
        <f>+(AIDA!F103-AIDA!F185)/10^6</f>
        <v>0.50022199999999994</v>
      </c>
      <c r="G20" s="38">
        <f>+(AIDA!G103-AIDA!G185)/10^6</f>
        <v>-0.266565</v>
      </c>
      <c r="H20" s="38">
        <f>+(AIDA!H103-AIDA!H185)/10^6</f>
        <v>1.6115000000000001E-2</v>
      </c>
      <c r="I20" s="38">
        <f>+(AIDA!I103-AIDA!I185)/10^6</f>
        <v>0.28637299999999999</v>
      </c>
      <c r="K20" s="38">
        <f t="shared" si="0"/>
        <v>0.62239999999999995</v>
      </c>
      <c r="L20" s="105">
        <f t="shared" si="1"/>
        <v>-5.0942068130105254</v>
      </c>
      <c r="N20" s="38">
        <f t="shared" si="2"/>
        <v>0.408551</v>
      </c>
      <c r="O20" s="112">
        <f t="shared" si="3"/>
        <v>-3.34389988377613</v>
      </c>
    </row>
    <row r="21" spans="1:15" ht="14.5" customHeight="1" x14ac:dyDescent="0.3">
      <c r="A21" s="39" t="s">
        <v>391</v>
      </c>
      <c r="B21" s="40"/>
      <c r="C21" s="40"/>
      <c r="D21" s="40">
        <f t="shared" ref="D21" si="10">+D20+D19+D18</f>
        <v>-2.53159</v>
      </c>
      <c r="E21" s="40">
        <f>+E20+E19+E18</f>
        <v>-2.6605650000000001</v>
      </c>
      <c r="F21" s="40">
        <f>+F20+F19+F18</f>
        <v>-1.591693</v>
      </c>
      <c r="G21" s="40">
        <f>+G20+G19+G18</f>
        <v>-3.0326569999999999</v>
      </c>
      <c r="H21" s="40">
        <f>+H20+H19+H18</f>
        <v>-7.7484929999999999</v>
      </c>
      <c r="I21" s="40">
        <f>+I20+I19+I18</f>
        <v>-8.3730620000000009</v>
      </c>
      <c r="K21" s="40">
        <f t="shared" si="0"/>
        <v>1.068872</v>
      </c>
      <c r="L21" s="106">
        <f t="shared" si="1"/>
        <v>-0.40174624562827821</v>
      </c>
      <c r="N21" s="40">
        <f t="shared" si="2"/>
        <v>-5.7124970000000008</v>
      </c>
      <c r="O21" s="113">
        <f t="shared" si="3"/>
        <v>2.1470992063715792</v>
      </c>
    </row>
    <row r="22" spans="1:15" ht="14.5" customHeight="1" x14ac:dyDescent="0.3">
      <c r="A22" s="44" t="s">
        <v>392</v>
      </c>
      <c r="B22" s="45"/>
      <c r="C22" s="45"/>
      <c r="D22" s="45">
        <f t="shared" ref="D22:I22" si="11">+D21+D16+D6</f>
        <v>48.090194999999994</v>
      </c>
      <c r="E22" s="45">
        <f t="shared" si="11"/>
        <v>55.251198000000002</v>
      </c>
      <c r="F22" s="45">
        <f t="shared" si="11"/>
        <v>202.74634499999999</v>
      </c>
      <c r="G22" s="45">
        <f t="shared" si="11"/>
        <v>213.77695699999998</v>
      </c>
      <c r="H22" s="45">
        <f t="shared" si="11"/>
        <v>227.97508799999997</v>
      </c>
      <c r="I22" s="45">
        <f t="shared" si="11"/>
        <v>181.12030899999999</v>
      </c>
      <c r="K22" s="45">
        <f t="shared" si="0"/>
        <v>147.49514699999997</v>
      </c>
      <c r="L22" s="108">
        <f t="shared" si="1"/>
        <v>2.6695375365435514</v>
      </c>
      <c r="N22" s="45">
        <f t="shared" si="2"/>
        <v>125.86911099999999</v>
      </c>
      <c r="O22" s="115">
        <f t="shared" si="3"/>
        <v>2.2781245575887783</v>
      </c>
    </row>
    <row r="23" spans="1:15" ht="14.5" customHeight="1" x14ac:dyDescent="0.3">
      <c r="A23" s="97"/>
      <c r="B23" s="98" t="s">
        <v>393</v>
      </c>
      <c r="C23" s="98"/>
      <c r="D23" s="99" t="str">
        <f>IFERROR(+D22/#REF!-1,"")</f>
        <v/>
      </c>
      <c r="E23" s="99">
        <f t="shared" ref="E23:I23" si="12">IFERROR(+E22/D22-1,"")</f>
        <v>0.14890775552064217</v>
      </c>
      <c r="F23" s="102">
        <f t="shared" si="12"/>
        <v>2.6695375365435514</v>
      </c>
      <c r="G23" s="99">
        <f t="shared" si="12"/>
        <v>5.4405972152050452E-2</v>
      </c>
      <c r="H23" s="99">
        <f t="shared" si="12"/>
        <v>6.6415628696595119E-2</v>
      </c>
      <c r="I23" s="99">
        <f t="shared" si="12"/>
        <v>-0.20552587307258763</v>
      </c>
      <c r="K23" s="99"/>
      <c r="L23" s="109"/>
      <c r="N23" s="99"/>
      <c r="O23" s="99"/>
    </row>
    <row r="24" spans="1:15" ht="14.5" customHeight="1" x14ac:dyDescent="0.3">
      <c r="A24" s="37" t="s">
        <v>315</v>
      </c>
      <c r="B24" s="38"/>
      <c r="C24" s="38"/>
      <c r="D24" s="38">
        <f>+AIDA!D98/10^6</f>
        <v>6.0611360000000003</v>
      </c>
      <c r="E24" s="38">
        <f>+AIDA!E98/10^6</f>
        <v>4.1835009999999997</v>
      </c>
      <c r="F24" s="38">
        <f>+AIDA!F98/10^6</f>
        <v>13.76079</v>
      </c>
      <c r="G24" s="38">
        <f>+AIDA!G98/10^6</f>
        <v>24.520022000000001</v>
      </c>
      <c r="H24" s="38">
        <f>+AIDA!H98/10^6</f>
        <v>13.277248</v>
      </c>
      <c r="I24" s="38">
        <f>+AIDA!I98/10^6</f>
        <v>18.261417999999999</v>
      </c>
      <c r="K24" s="38">
        <f t="shared" si="0"/>
        <v>9.5772890000000004</v>
      </c>
      <c r="L24" s="105">
        <f t="shared" si="1"/>
        <v>2.2893000384128035</v>
      </c>
      <c r="N24" s="38">
        <f t="shared" si="2"/>
        <v>14.077916999999999</v>
      </c>
      <c r="O24" s="112">
        <f t="shared" si="3"/>
        <v>3.3651042512001315</v>
      </c>
    </row>
    <row r="25" spans="1:15" ht="14.5" customHeight="1" x14ac:dyDescent="0.3">
      <c r="A25" s="37" t="s">
        <v>316</v>
      </c>
      <c r="B25" s="38"/>
      <c r="C25" s="38"/>
      <c r="D25" s="38">
        <f>-(AIDA!D155-AIDA!D151-AIDA!D149)/10^6</f>
        <v>-16.699503</v>
      </c>
      <c r="E25" s="38">
        <f>-(AIDA!E155-AIDA!E151-AIDA!E149)/10^6</f>
        <v>-40.150447</v>
      </c>
      <c r="F25" s="38">
        <f>-(AIDA!F155-AIDA!F151-AIDA!F149)/10^6</f>
        <v>-77.724102000000002</v>
      </c>
      <c r="G25" s="38">
        <f>-(AIDA!G155-AIDA!G151-AIDA!G149)/10^6</f>
        <v>-6.1059830000000002</v>
      </c>
      <c r="H25" s="38">
        <f>-(AIDA!H155-AIDA!H151-AIDA!H149)/10^6</f>
        <v>-9.7940319999999996</v>
      </c>
      <c r="I25" s="38">
        <f>-(AIDA!I155-AIDA!I151-AIDA!I149)/10^6</f>
        <v>-9.828633</v>
      </c>
      <c r="K25" s="38">
        <f t="shared" si="0"/>
        <v>-37.573655000000002</v>
      </c>
      <c r="L25" s="105">
        <f t="shared" si="1"/>
        <v>0.93582158624535361</v>
      </c>
      <c r="N25" s="38">
        <f t="shared" si="2"/>
        <v>30.321814</v>
      </c>
      <c r="O25" s="112">
        <f t="shared" si="3"/>
        <v>-0.75520489223943132</v>
      </c>
    </row>
    <row r="26" spans="1:15" ht="14.5" customHeight="1" x14ac:dyDescent="0.3">
      <c r="A26" s="37" t="s">
        <v>317</v>
      </c>
      <c r="B26" s="38"/>
      <c r="C26" s="38"/>
      <c r="D26" s="38">
        <f>+(-AIDA!D156-AIDA!D150-AIDA!D154)/10^6</f>
        <v>-21.126262000000001</v>
      </c>
      <c r="E26" s="38">
        <f>+(-AIDA!E156-AIDA!E150-AIDA!E154)/10^6</f>
        <v>0</v>
      </c>
      <c r="F26" s="38">
        <f>+(-AIDA!F156-AIDA!F150-AIDA!F154)/10^6</f>
        <v>-7.8294990000000002</v>
      </c>
      <c r="G26" s="38">
        <f>+(-AIDA!G156-AIDA!G150-AIDA!G154)/10^6</f>
        <v>-97.128564999999995</v>
      </c>
      <c r="H26" s="38">
        <f>+(-AIDA!H156-AIDA!H150-AIDA!H154)/10^6</f>
        <v>-101.949837</v>
      </c>
      <c r="I26" s="38">
        <f>+(-AIDA!I156-AIDA!I150-AIDA!I154)/10^6</f>
        <v>-105.230475</v>
      </c>
      <c r="K26" s="38">
        <f t="shared" si="0"/>
        <v>-7.8294990000000002</v>
      </c>
      <c r="L26" s="105" t="str">
        <f t="shared" si="1"/>
        <v/>
      </c>
      <c r="N26" s="38">
        <f t="shared" si="2"/>
        <v>-105.230475</v>
      </c>
      <c r="O26" s="112" t="str">
        <f t="shared" si="3"/>
        <v/>
      </c>
    </row>
    <row r="27" spans="1:15" ht="14.5" customHeight="1" x14ac:dyDescent="0.3">
      <c r="A27" s="97"/>
      <c r="B27" s="98" t="s">
        <v>395</v>
      </c>
      <c r="C27" s="98"/>
      <c r="D27" s="100" t="str">
        <f>IFERROR((+D26+D25)/(+#REF!+#REF!)-1,"")</f>
        <v/>
      </c>
      <c r="E27" s="100">
        <f t="shared" ref="E27:I27" si="13">IFERROR((+E26+E25)/(+D26+D25)-1,"")</f>
        <v>6.1457633441121207E-2</v>
      </c>
      <c r="F27" s="101">
        <f t="shared" si="13"/>
        <v>1.1308256169601298</v>
      </c>
      <c r="G27" s="100">
        <f t="shared" si="13"/>
        <v>0.20666514083960053</v>
      </c>
      <c r="H27" s="100">
        <f t="shared" si="13"/>
        <v>8.2427066954368966E-2</v>
      </c>
      <c r="I27" s="100">
        <f t="shared" si="13"/>
        <v>2.9668195934758446E-2</v>
      </c>
      <c r="K27" s="100"/>
      <c r="L27" s="110"/>
      <c r="N27" s="100"/>
      <c r="O27" s="100"/>
    </row>
    <row r="28" spans="1:15" ht="14.5" customHeight="1" x14ac:dyDescent="0.3">
      <c r="A28" s="37" t="s">
        <v>318</v>
      </c>
      <c r="B28" s="38"/>
      <c r="C28" s="38"/>
      <c r="D28" s="38">
        <f>+(-AIDA!D157)/10^6</f>
        <v>-8.6466000000000001E-2</v>
      </c>
      <c r="E28" s="38">
        <f>+(-AIDA!E157)/10^6</f>
        <v>-4.018351</v>
      </c>
      <c r="F28" s="38">
        <f>+(-AIDA!F157)/10^6</f>
        <v>-0.48433399999999999</v>
      </c>
      <c r="G28" s="38">
        <f>+(-AIDA!G157)/10^6</f>
        <v>-0.230793</v>
      </c>
      <c r="H28" s="38">
        <f>+(-AIDA!H157)/10^6</f>
        <v>-0.13248199999999999</v>
      </c>
      <c r="I28" s="38">
        <f>+(-AIDA!I157)/10^6</f>
        <v>-2.3101859999999999</v>
      </c>
      <c r="K28" s="38">
        <f t="shared" si="0"/>
        <v>3.534017</v>
      </c>
      <c r="L28" s="105">
        <f t="shared" si="1"/>
        <v>-0.87946946396668679</v>
      </c>
      <c r="N28" s="38">
        <f t="shared" si="2"/>
        <v>1.7081650000000002</v>
      </c>
      <c r="O28" s="112">
        <f t="shared" si="3"/>
        <v>-0.42509103858771924</v>
      </c>
    </row>
    <row r="29" spans="1:15" ht="14.5" customHeight="1" x14ac:dyDescent="0.3">
      <c r="A29" s="37" t="s">
        <v>319</v>
      </c>
      <c r="B29" s="38"/>
      <c r="C29" s="38"/>
      <c r="D29" s="38">
        <f>+(-AIDA!D158)/10^6</f>
        <v>-2.8940730000000001</v>
      </c>
      <c r="E29" s="38">
        <f>+(-AIDA!E158)/10^6</f>
        <v>-0.51851700000000001</v>
      </c>
      <c r="F29" s="38">
        <f>+(-AIDA!F158)/10^6</f>
        <v>-0.36481799999999998</v>
      </c>
      <c r="G29" s="38">
        <f>+(-AIDA!G158)/10^6</f>
        <v>-0.226025</v>
      </c>
      <c r="H29" s="38">
        <f>+(-AIDA!H158)/10^6</f>
        <v>0</v>
      </c>
      <c r="I29" s="38">
        <f>+(-AIDA!I158)/10^6</f>
        <v>0</v>
      </c>
      <c r="K29" s="38">
        <f t="shared" si="0"/>
        <v>0.15369900000000003</v>
      </c>
      <c r="L29" s="105">
        <f t="shared" si="1"/>
        <v>-0.29642036808822092</v>
      </c>
      <c r="N29" s="38">
        <f t="shared" si="2"/>
        <v>0.51851700000000001</v>
      </c>
      <c r="O29" s="112">
        <f t="shared" si="3"/>
        <v>-1</v>
      </c>
    </row>
    <row r="30" spans="1:15" ht="14.5" customHeight="1" x14ac:dyDescent="0.3">
      <c r="A30" s="44" t="s">
        <v>365</v>
      </c>
      <c r="B30" s="45"/>
      <c r="C30" s="45"/>
      <c r="D30" s="45">
        <f t="shared" ref="D30" si="14">+D29+D28+D26+D25+D24</f>
        <v>-34.745168</v>
      </c>
      <c r="E30" s="45">
        <f>+E29+E28+E26+E25+E24</f>
        <v>-40.503813999999998</v>
      </c>
      <c r="F30" s="45">
        <f>+F29+F28+F26+F25+F24</f>
        <v>-72.641963000000004</v>
      </c>
      <c r="G30" s="45">
        <f>+G29+G28+G26+G25+G24</f>
        <v>-79.171343999999991</v>
      </c>
      <c r="H30" s="45">
        <f>+H29+H28+H26+H25+H24</f>
        <v>-98.599102999999999</v>
      </c>
      <c r="I30" s="45">
        <f>+I29+I28+I26+I25+I24</f>
        <v>-99.107876000000005</v>
      </c>
      <c r="K30" s="45">
        <f t="shared" si="0"/>
        <v>-32.138149000000006</v>
      </c>
      <c r="L30" s="108">
        <f t="shared" si="1"/>
        <v>0.7934598208455137</v>
      </c>
      <c r="N30" s="45">
        <f t="shared" si="2"/>
        <v>-58.604062000000006</v>
      </c>
      <c r="O30" s="115">
        <f t="shared" si="3"/>
        <v>1.4468776199693196</v>
      </c>
    </row>
    <row r="31" spans="1:15" ht="14.5" customHeight="1" x14ac:dyDescent="0.3">
      <c r="A31" s="97"/>
      <c r="B31" s="98" t="s">
        <v>393</v>
      </c>
      <c r="C31" s="98"/>
      <c r="D31" s="100" t="str">
        <f>IFERROR(+D30/#REF!-1,"")</f>
        <v/>
      </c>
      <c r="E31" s="100">
        <f t="shared" ref="E31:I31" si="15">IFERROR(+E30/D30-1,"")</f>
        <v>0.16573947778868137</v>
      </c>
      <c r="F31" s="100">
        <f t="shared" si="15"/>
        <v>0.7934598208455137</v>
      </c>
      <c r="G31" s="100">
        <f t="shared" si="15"/>
        <v>8.988442396580032E-2</v>
      </c>
      <c r="H31" s="100">
        <f t="shared" si="15"/>
        <v>0.24538877349360155</v>
      </c>
      <c r="I31" s="100">
        <f t="shared" si="15"/>
        <v>5.1600165165803791E-3</v>
      </c>
      <c r="K31" s="100"/>
      <c r="L31" s="110"/>
      <c r="N31" s="100"/>
      <c r="O31" s="100"/>
    </row>
    <row r="32" spans="1:15" ht="14.5" customHeight="1" x14ac:dyDescent="0.3">
      <c r="A32" s="46" t="s">
        <v>366</v>
      </c>
      <c r="B32" s="47"/>
      <c r="C32" s="47"/>
      <c r="D32" s="47">
        <f>-D30/'Profit&amp;Loss'!D11</f>
        <v>2.6608855770360376</v>
      </c>
      <c r="E32" s="47">
        <f>-E30/'Profit&amp;Loss'!E11</f>
        <v>3.4328009433296263</v>
      </c>
      <c r="F32" s="47">
        <f>-F30/'Profit&amp;Loss'!F11</f>
        <v>4.2280948378417529</v>
      </c>
      <c r="G32" s="47">
        <f>-G30/'Profit&amp;Loss'!G11</f>
        <v>11.152260065670003</v>
      </c>
      <c r="H32" s="47">
        <f>-H30/'Profit&amp;Loss'!H11</f>
        <v>14.477136854383232</v>
      </c>
      <c r="I32" s="47">
        <f>-I30/'Profit&amp;Loss'!I11</f>
        <v>-12.070362550992003</v>
      </c>
      <c r="K32" s="47">
        <f t="shared" si="0"/>
        <v>0.79529389451212662</v>
      </c>
      <c r="L32" s="111">
        <f t="shared" si="1"/>
        <v>0.23167492308503501</v>
      </c>
      <c r="N32" s="47">
        <f t="shared" si="2"/>
        <v>-15.50316349432163</v>
      </c>
      <c r="O32" s="116">
        <f t="shared" si="3"/>
        <v>-4.5161848153317106</v>
      </c>
    </row>
    <row r="33" spans="1:15" ht="14.5" customHeight="1" x14ac:dyDescent="0.3">
      <c r="A33" s="37" t="s">
        <v>320</v>
      </c>
      <c r="B33" s="38"/>
      <c r="C33" s="38"/>
      <c r="D33" s="38">
        <f>+(-AIDA!D112-AIDA!D153-AIDA!D154)/10^6</f>
        <v>-13.345027</v>
      </c>
      <c r="E33" s="38">
        <f>+(-AIDA!E112-AIDA!E153-AIDA!E154)/10^6</f>
        <v>-14.747384</v>
      </c>
      <c r="F33" s="38">
        <f>+(-AIDA!F112-AIDA!F153-AIDA!F154)/10^6</f>
        <v>-130.10438199999999</v>
      </c>
      <c r="G33" s="38">
        <f>+(-AIDA!G112-AIDA!G153-AIDA!G154)/10^6</f>
        <v>-134.60561300000001</v>
      </c>
      <c r="H33" s="38">
        <f>+(-AIDA!H112-AIDA!H153-AIDA!H154)/10^6</f>
        <v>-129.37598499999999</v>
      </c>
      <c r="I33" s="38">
        <f>+(-AIDA!I112-AIDA!I153-AIDA!I154)/10^6</f>
        <v>-82.012433000000001</v>
      </c>
      <c r="K33" s="38">
        <f t="shared" si="0"/>
        <v>-115.35699799999999</v>
      </c>
      <c r="L33" s="105">
        <f t="shared" si="1"/>
        <v>7.8222007374324818</v>
      </c>
      <c r="N33" s="38">
        <f t="shared" si="2"/>
        <v>-67.265049000000005</v>
      </c>
      <c r="O33" s="112">
        <f t="shared" si="3"/>
        <v>4.5611512523170212</v>
      </c>
    </row>
    <row r="34" spans="1:15" ht="14.5" customHeight="1" x14ac:dyDescent="0.3">
      <c r="A34" s="97"/>
      <c r="B34" s="98" t="s">
        <v>393</v>
      </c>
      <c r="C34" s="98"/>
      <c r="D34" s="100" t="str">
        <f>IFERROR(+D33/#REF!-1,"")</f>
        <v/>
      </c>
      <c r="E34" s="100">
        <f t="shared" ref="E34:I34" si="16">IFERROR(+E33/D33-1,"")</f>
        <v>0.10508461316713702</v>
      </c>
      <c r="F34" s="101">
        <f t="shared" si="16"/>
        <v>7.8222007374324818</v>
      </c>
      <c r="G34" s="100">
        <f t="shared" si="16"/>
        <v>3.459707452436156E-2</v>
      </c>
      <c r="H34" s="100">
        <f t="shared" si="16"/>
        <v>-3.8851485338876723E-2</v>
      </c>
      <c r="I34" s="100">
        <f t="shared" si="16"/>
        <v>-0.36609230066924703</v>
      </c>
      <c r="K34" s="100"/>
      <c r="L34" s="110"/>
      <c r="N34" s="100"/>
      <c r="O34" s="100"/>
    </row>
    <row r="35" spans="1:15" ht="14.5" customHeight="1" x14ac:dyDescent="0.3">
      <c r="A35" s="44" t="s">
        <v>321</v>
      </c>
      <c r="B35" s="45"/>
      <c r="C35" s="45"/>
      <c r="D35" s="45">
        <f t="shared" ref="D35" si="17">+D33+D30</f>
        <v>-48.090195000000001</v>
      </c>
      <c r="E35" s="45">
        <f>+E33+E30</f>
        <v>-55.251198000000002</v>
      </c>
      <c r="F35" s="45">
        <f>+F33+F30</f>
        <v>-202.74634499999999</v>
      </c>
      <c r="G35" s="45">
        <f>+G33+G30</f>
        <v>-213.77695699999998</v>
      </c>
      <c r="H35" s="45">
        <f>+H33+H30</f>
        <v>-227.97508799999997</v>
      </c>
      <c r="I35" s="45">
        <f>+I33+I30</f>
        <v>-181.12030900000002</v>
      </c>
      <c r="K35" s="45">
        <f t="shared" si="0"/>
        <v>-147.49514699999997</v>
      </c>
      <c r="L35" s="108">
        <f t="shared" si="1"/>
        <v>2.6695375365435514</v>
      </c>
      <c r="N35" s="45">
        <f t="shared" si="2"/>
        <v>-125.86911100000002</v>
      </c>
      <c r="O35" s="115">
        <f t="shared" si="3"/>
        <v>2.2781245575887787</v>
      </c>
    </row>
    <row r="37" spans="1:15" x14ac:dyDescent="0.3">
      <c r="A37" s="48" t="s">
        <v>322</v>
      </c>
      <c r="D37" s="38">
        <f t="shared" ref="D37" si="18">+D35+D22</f>
        <v>0</v>
      </c>
      <c r="E37" s="49">
        <f>+E35+E22</f>
        <v>0</v>
      </c>
      <c r="F37" s="38">
        <f>+F35+F22</f>
        <v>0</v>
      </c>
      <c r="G37" s="38">
        <f>+G35+G22</f>
        <v>0</v>
      </c>
      <c r="H37" s="38">
        <f>+H35+H22</f>
        <v>0</v>
      </c>
      <c r="I37" s="50">
        <f>+I35+I22</f>
        <v>0</v>
      </c>
      <c r="K37" s="5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9DC86-F239-4E1D-8888-C294A92B1982}">
  <dimension ref="A1:O29"/>
  <sheetViews>
    <sheetView showGridLines="0" zoomScale="90" zoomScaleNormal="90" workbookViewId="0">
      <selection activeCell="E7" sqref="E7"/>
    </sheetView>
  </sheetViews>
  <sheetFormatPr defaultRowHeight="14.5" customHeight="1" x14ac:dyDescent="0.3"/>
  <cols>
    <col min="1" max="15" width="9.6328125" style="34" customWidth="1"/>
    <col min="16" max="16384" width="8.7265625" style="34"/>
  </cols>
  <sheetData>
    <row r="1" spans="1:15" ht="14.5" customHeight="1" x14ac:dyDescent="0.3">
      <c r="A1" s="95" t="s">
        <v>385</v>
      </c>
      <c r="B1" s="95"/>
      <c r="C1" s="95"/>
      <c r="D1" s="95">
        <v>2017</v>
      </c>
      <c r="E1" s="95">
        <v>2018</v>
      </c>
      <c r="F1" s="95">
        <v>2019</v>
      </c>
      <c r="G1" s="95">
        <v>2020</v>
      </c>
      <c r="H1" s="95">
        <v>2021</v>
      </c>
      <c r="I1" s="95">
        <v>2022</v>
      </c>
      <c r="K1" s="95" t="s">
        <v>396</v>
      </c>
      <c r="L1" s="122" t="s">
        <v>394</v>
      </c>
      <c r="N1" s="95" t="s">
        <v>397</v>
      </c>
      <c r="O1" s="122" t="s">
        <v>394</v>
      </c>
    </row>
    <row r="2" spans="1:15" ht="14.5" customHeight="1" x14ac:dyDescent="0.3">
      <c r="A2" s="51" t="s">
        <v>302</v>
      </c>
    </row>
    <row r="3" spans="1:15" ht="14.5" customHeight="1" x14ac:dyDescent="0.3">
      <c r="A3" s="52" t="s">
        <v>323</v>
      </c>
      <c r="B3" s="53"/>
      <c r="C3" s="53"/>
      <c r="D3" s="54">
        <f>+AIDA!D198/10^6</f>
        <v>104.577501</v>
      </c>
      <c r="E3" s="54">
        <f>+AIDA!E198/10^6</f>
        <v>110.37539</v>
      </c>
      <c r="F3" s="54">
        <f>+AIDA!F198/10^6</f>
        <v>124.77206200000001</v>
      </c>
      <c r="G3" s="54">
        <f>+AIDA!G198/10^6</f>
        <v>107.69793300000001</v>
      </c>
      <c r="H3" s="54">
        <f>+AIDA!H198/10^6</f>
        <v>132.59718699999999</v>
      </c>
      <c r="I3" s="54">
        <f>+AIDA!I198/10^6</f>
        <v>167.61975699999999</v>
      </c>
      <c r="K3" s="54">
        <f>F3-E3</f>
        <v>14.396672000000009</v>
      </c>
      <c r="L3" s="119">
        <f>IFERROR(+F3/E3-1,"")</f>
        <v>0.1304337135298006</v>
      </c>
      <c r="N3" s="54">
        <f>I3-E3</f>
        <v>57.244366999999997</v>
      </c>
      <c r="O3" s="119">
        <f>IFERROR(+I3/E3-1,"")</f>
        <v>0.5186334290642145</v>
      </c>
    </row>
    <row r="4" spans="1:15" ht="14.5" customHeight="1" x14ac:dyDescent="0.3">
      <c r="A4" s="55" t="s">
        <v>324</v>
      </c>
      <c r="B4" s="56"/>
      <c r="C4" s="56"/>
      <c r="D4" s="57" t="str">
        <f>IFERROR(+D3/#REF!-1,"")</f>
        <v/>
      </c>
      <c r="E4" s="57">
        <f t="shared" ref="E4:I4" si="0">IFERROR(+E3/D3-1,"")</f>
        <v>5.544107427084155E-2</v>
      </c>
      <c r="F4" s="57">
        <f t="shared" si="0"/>
        <v>0.1304337135298006</v>
      </c>
      <c r="G4" s="57">
        <f t="shared" si="0"/>
        <v>-0.13684256496458314</v>
      </c>
      <c r="H4" s="57">
        <f t="shared" si="0"/>
        <v>0.2311952820858687</v>
      </c>
      <c r="I4" s="57">
        <f t="shared" si="0"/>
        <v>0.26412754895018997</v>
      </c>
      <c r="K4" s="57"/>
      <c r="L4" s="120"/>
      <c r="N4" s="57"/>
      <c r="O4" s="120"/>
    </row>
    <row r="5" spans="1:15" ht="14.5" customHeight="1" x14ac:dyDescent="0.3">
      <c r="A5" s="58" t="s">
        <v>325</v>
      </c>
      <c r="D5" s="38">
        <f>-(+AIDA!D208/10^6+AIDA!D224/10^6)</f>
        <v>-50.928825000000003</v>
      </c>
      <c r="E5" s="38">
        <f>-(+AIDA!E208/10^6+AIDA!E224/10^6)</f>
        <v>-54.267717000000005</v>
      </c>
      <c r="F5" s="38">
        <f>-(+AIDA!F208/10^6+AIDA!F224/10^6)</f>
        <v>-59.165676000000005</v>
      </c>
      <c r="G5" s="38">
        <f>-(+AIDA!G208/10^6+AIDA!G224/10^6)</f>
        <v>-49.148665000000001</v>
      </c>
      <c r="H5" s="38">
        <f>-(+AIDA!H208/10^6+AIDA!H224/10^6)</f>
        <v>-66.417867000000001</v>
      </c>
      <c r="I5" s="38">
        <f>-(+AIDA!I208/10^6+AIDA!I224/10^6)</f>
        <v>-92.868723000000003</v>
      </c>
      <c r="K5" s="38">
        <f t="shared" ref="K5:K28" si="1">F5-E5</f>
        <v>-4.8979590000000002</v>
      </c>
      <c r="L5" s="112">
        <f t="shared" ref="L5:L28" si="2">IFERROR(+F5/E5-1,"")</f>
        <v>9.0255482831533174E-2</v>
      </c>
      <c r="N5" s="38">
        <f t="shared" ref="N5:N28" si="3">I5-E5</f>
        <v>-38.601005999999998</v>
      </c>
      <c r="O5" s="112">
        <f t="shared" ref="O5:O28" si="4">IFERROR(+I5/E5-1,"")</f>
        <v>0.71130698201289722</v>
      </c>
    </row>
    <row r="6" spans="1:15" ht="14.5" customHeight="1" x14ac:dyDescent="0.3">
      <c r="A6" s="52" t="s">
        <v>326</v>
      </c>
      <c r="B6" s="53"/>
      <c r="C6" s="150"/>
      <c r="D6" s="54">
        <f t="shared" ref="D6" si="5">+D5+D3</f>
        <v>53.648675999999995</v>
      </c>
      <c r="E6" s="54">
        <f>+E5+E3</f>
        <v>56.107672999999991</v>
      </c>
      <c r="F6" s="54">
        <f>+F5+F3</f>
        <v>65.606386000000001</v>
      </c>
      <c r="G6" s="54">
        <f>+G5+G3</f>
        <v>58.549268000000005</v>
      </c>
      <c r="H6" s="54">
        <f>+H5+H3</f>
        <v>66.17931999999999</v>
      </c>
      <c r="I6" s="54">
        <f>+I5+I3</f>
        <v>74.75103399999999</v>
      </c>
      <c r="K6" s="54">
        <f t="shared" si="1"/>
        <v>9.4987130000000093</v>
      </c>
      <c r="L6" s="119">
        <f t="shared" si="2"/>
        <v>0.16929436727842928</v>
      </c>
      <c r="N6" s="54">
        <f t="shared" si="3"/>
        <v>18.643360999999999</v>
      </c>
      <c r="O6" s="119">
        <f t="shared" si="4"/>
        <v>0.33227827858767189</v>
      </c>
    </row>
    <row r="7" spans="1:15" ht="14.5" customHeight="1" x14ac:dyDescent="0.3">
      <c r="A7" s="59" t="s">
        <v>327</v>
      </c>
      <c r="B7" s="56"/>
      <c r="C7" s="56"/>
      <c r="D7" s="57">
        <f>+D6/D$3</f>
        <v>0.51300399691134324</v>
      </c>
      <c r="E7" s="57">
        <f t="shared" ref="E7:I7" si="6">+E6/E$3</f>
        <v>0.50833499206661914</v>
      </c>
      <c r="F7" s="57">
        <f t="shared" si="6"/>
        <v>0.52580990446402975</v>
      </c>
      <c r="G7" s="57">
        <f t="shared" si="6"/>
        <v>0.54364337707391286</v>
      </c>
      <c r="H7" s="57">
        <f t="shared" si="6"/>
        <v>0.49910048242576965</v>
      </c>
      <c r="I7" s="57">
        <f t="shared" si="6"/>
        <v>0.44595598596411279</v>
      </c>
      <c r="K7" s="57"/>
      <c r="L7" s="120"/>
      <c r="N7" s="57"/>
      <c r="O7" s="120"/>
    </row>
    <row r="8" spans="1:15" ht="14.5" customHeight="1" x14ac:dyDescent="0.3">
      <c r="A8" s="58" t="s">
        <v>328</v>
      </c>
      <c r="D8" s="38">
        <f>-AIDA!D211/10^6</f>
        <v>-17.392592</v>
      </c>
      <c r="E8" s="38">
        <f>-AIDA!E211/10^6</f>
        <v>-20.293149</v>
      </c>
      <c r="F8" s="38">
        <f>-AIDA!F211/10^6</f>
        <v>-22.289565</v>
      </c>
      <c r="G8" s="38">
        <f>-AIDA!G211/10^6</f>
        <v>-26.207549</v>
      </c>
      <c r="H8" s="38">
        <f>-AIDA!H211/10^6</f>
        <v>-31.159115</v>
      </c>
      <c r="I8" s="126">
        <f>-AIDA!I211/10^6</f>
        <v>-43.273536999999997</v>
      </c>
      <c r="K8" s="38">
        <f t="shared" si="1"/>
        <v>-1.996416</v>
      </c>
      <c r="L8" s="112">
        <f t="shared" si="2"/>
        <v>9.8378817402858365E-2</v>
      </c>
      <c r="N8" s="38">
        <f t="shared" si="3"/>
        <v>-22.980387999999998</v>
      </c>
      <c r="O8" s="112">
        <f t="shared" si="4"/>
        <v>1.1324209958740261</v>
      </c>
    </row>
    <row r="9" spans="1:15" ht="14.5" customHeight="1" x14ac:dyDescent="0.3">
      <c r="A9" s="58" t="s">
        <v>329</v>
      </c>
      <c r="D9" s="38">
        <f>-AIDA!D209/10^6-AIDA!D210/10^6</f>
        <v>-22.730518999999997</v>
      </c>
      <c r="E9" s="38">
        <f>-AIDA!E209/10^6-AIDA!E210/10^6</f>
        <v>-23.111442</v>
      </c>
      <c r="F9" s="38">
        <f>-AIDA!F209/10^6-AIDA!F210/10^6</f>
        <v>-25.135413</v>
      </c>
      <c r="G9" s="38">
        <f>-AIDA!G209/10^6-AIDA!G210/10^6</f>
        <v>-24.111720999999999</v>
      </c>
      <c r="H9" s="38">
        <f>-AIDA!H209/10^6-AIDA!H210/10^6</f>
        <v>-26.424849000000002</v>
      </c>
      <c r="I9" s="38">
        <f>-AIDA!I209/10^6-AIDA!I210/10^6</f>
        <v>-36.768366</v>
      </c>
      <c r="K9" s="38">
        <f t="shared" si="1"/>
        <v>-2.0239709999999995</v>
      </c>
      <c r="L9" s="112">
        <f t="shared" si="2"/>
        <v>8.7574414439393289E-2</v>
      </c>
      <c r="N9" s="38">
        <f t="shared" si="3"/>
        <v>-13.656924</v>
      </c>
      <c r="O9" s="112">
        <f t="shared" si="4"/>
        <v>0.59091613582570912</v>
      </c>
    </row>
    <row r="10" spans="1:15" ht="14.5" customHeight="1" x14ac:dyDescent="0.3">
      <c r="A10" s="58" t="s">
        <v>330</v>
      </c>
      <c r="D10" s="38">
        <f>-AIDA!D227/10^6</f>
        <v>-0.46781899999999998</v>
      </c>
      <c r="E10" s="38">
        <f>-AIDA!E227/10^6</f>
        <v>-0.90402499999999997</v>
      </c>
      <c r="F10" s="38">
        <f>-AIDA!F227/10^6</f>
        <v>-1.000629</v>
      </c>
      <c r="G10" s="38">
        <f>-AIDA!G227/10^6</f>
        <v>-1.130868</v>
      </c>
      <c r="H10" s="38">
        <f>-AIDA!H227/10^6</f>
        <v>-1.7846789999999999</v>
      </c>
      <c r="I10" s="38">
        <f>-AIDA!I227/10^6</f>
        <v>-2.9199760000000001</v>
      </c>
      <c r="K10" s="38">
        <f t="shared" si="1"/>
        <v>-9.6604000000000023E-2</v>
      </c>
      <c r="L10" s="112">
        <f t="shared" si="2"/>
        <v>0.10685987666270291</v>
      </c>
      <c r="N10" s="38">
        <f t="shared" si="3"/>
        <v>-2.0159510000000003</v>
      </c>
      <c r="O10" s="112">
        <f t="shared" si="4"/>
        <v>2.229972622438539</v>
      </c>
    </row>
    <row r="11" spans="1:15" ht="14.5" customHeight="1" x14ac:dyDescent="0.3">
      <c r="A11" s="52" t="s">
        <v>331</v>
      </c>
      <c r="B11" s="53"/>
      <c r="C11" s="53"/>
      <c r="D11" s="54">
        <f t="shared" ref="D11" si="7">+D10+D9+D8+D6</f>
        <v>13.057745999999995</v>
      </c>
      <c r="E11" s="54">
        <f>+E10+E9+E8+E6</f>
        <v>11.799056999999991</v>
      </c>
      <c r="F11" s="54">
        <f>+F10+F9+F8+F6</f>
        <v>17.180779000000001</v>
      </c>
      <c r="G11" s="54">
        <f>+G10+G9+G8+G6</f>
        <v>7.0991300000000095</v>
      </c>
      <c r="H11" s="54">
        <f>+H10+H9+H8+H6</f>
        <v>6.8106769999999841</v>
      </c>
      <c r="I11" s="54">
        <f>+I10+I9+I8+I6</f>
        <v>-8.2108450000000062</v>
      </c>
      <c r="K11" s="54">
        <f t="shared" si="1"/>
        <v>5.3817220000000106</v>
      </c>
      <c r="L11" s="119">
        <f t="shared" si="2"/>
        <v>0.4561145861063316</v>
      </c>
      <c r="N11" s="54">
        <f t="shared" si="3"/>
        <v>-20.009901999999997</v>
      </c>
      <c r="O11" s="119">
        <f t="shared" si="4"/>
        <v>-1.6958899342549165</v>
      </c>
    </row>
    <row r="12" spans="1:15" ht="14.5" customHeight="1" x14ac:dyDescent="0.3">
      <c r="A12" s="59" t="s">
        <v>327</v>
      </c>
      <c r="B12" s="56"/>
      <c r="C12" s="56"/>
      <c r="D12" s="57">
        <f>+D11/D$3</f>
        <v>0.12486190504781707</v>
      </c>
      <c r="E12" s="57">
        <f t="shared" ref="E12:I12" si="8">+E11/E$3</f>
        <v>0.10689934595021582</v>
      </c>
      <c r="F12" s="57">
        <f t="shared" si="8"/>
        <v>0.13769732362041112</v>
      </c>
      <c r="G12" s="57">
        <f t="shared" si="8"/>
        <v>6.5917049680052908E-2</v>
      </c>
      <c r="H12" s="57">
        <f t="shared" si="8"/>
        <v>5.13636612818942E-2</v>
      </c>
      <c r="I12" s="57">
        <f t="shared" si="8"/>
        <v>-4.8984947520237763E-2</v>
      </c>
      <c r="K12" s="57"/>
      <c r="L12" s="120"/>
      <c r="N12" s="57"/>
      <c r="O12" s="120"/>
    </row>
    <row r="13" spans="1:15" ht="14.5" customHeight="1" x14ac:dyDescent="0.3">
      <c r="A13" s="58" t="s">
        <v>332</v>
      </c>
      <c r="D13" s="38">
        <f>+-AIDA!D223/10^6</f>
        <v>-1.325E-3</v>
      </c>
      <c r="E13" s="38">
        <f>+-AIDA!E223/10^6</f>
        <v>-2.0763E-2</v>
      </c>
      <c r="F13" s="38">
        <f>+-AIDA!F223/10^6</f>
        <v>-4.7759999999999999E-3</v>
      </c>
      <c r="G13" s="38">
        <f>+-AIDA!G223/10^6</f>
        <v>-2.6995999999999999E-2</v>
      </c>
      <c r="H13" s="38">
        <f>+-AIDA!H223/10^6</f>
        <v>-4.1655999999999999E-2</v>
      </c>
      <c r="I13" s="38">
        <f>+-AIDA!I223/10^6</f>
        <v>-0.92135100000000003</v>
      </c>
      <c r="K13" s="38">
        <f t="shared" si="1"/>
        <v>1.5987000000000001E-2</v>
      </c>
      <c r="L13" s="112">
        <f t="shared" si="2"/>
        <v>-0.76997543707556715</v>
      </c>
      <c r="N13" s="38">
        <f t="shared" si="3"/>
        <v>-0.90058800000000006</v>
      </c>
      <c r="O13" s="112">
        <f t="shared" si="4"/>
        <v>43.374656841496893</v>
      </c>
    </row>
    <row r="14" spans="1:15" ht="14.5" customHeight="1" x14ac:dyDescent="0.3">
      <c r="A14" s="52" t="s">
        <v>333</v>
      </c>
      <c r="B14" s="53"/>
      <c r="C14" s="53"/>
      <c r="D14" s="54">
        <f t="shared" ref="D14" si="9">+D13+D11</f>
        <v>13.056420999999995</v>
      </c>
      <c r="E14" s="54">
        <f>+E13+E11</f>
        <v>11.77829399999999</v>
      </c>
      <c r="F14" s="54">
        <f>+F13+F11</f>
        <v>17.176003000000001</v>
      </c>
      <c r="G14" s="54">
        <f>+G13+G11</f>
        <v>7.0721340000000099</v>
      </c>
      <c r="H14" s="54">
        <f>+H13+H11</f>
        <v>6.7690209999999844</v>
      </c>
      <c r="I14" s="54">
        <f>+I13+I11</f>
        <v>-9.1321960000000058</v>
      </c>
      <c r="K14" s="54">
        <f t="shared" si="1"/>
        <v>5.3977090000000114</v>
      </c>
      <c r="L14" s="119">
        <f t="shared" si="2"/>
        <v>0.45827596084798161</v>
      </c>
      <c r="N14" s="54">
        <f t="shared" si="3"/>
        <v>-20.910489999999996</v>
      </c>
      <c r="O14" s="119">
        <f t="shared" si="4"/>
        <v>-1.7753411487266333</v>
      </c>
    </row>
    <row r="15" spans="1:15" ht="14.5" customHeight="1" x14ac:dyDescent="0.3">
      <c r="A15" s="59" t="s">
        <v>327</v>
      </c>
      <c r="B15" s="56"/>
      <c r="C15" s="56"/>
      <c r="D15" s="57">
        <f>+D14/D$3</f>
        <v>0.1248492350185342</v>
      </c>
      <c r="E15" s="57">
        <f t="shared" ref="E15:I15" si="10">+E14/E$3</f>
        <v>0.10671123336461136</v>
      </c>
      <c r="F15" s="57">
        <f t="shared" si="10"/>
        <v>0.13765904582069022</v>
      </c>
      <c r="G15" s="57">
        <f t="shared" si="10"/>
        <v>6.5666385630632387E-2</v>
      </c>
      <c r="H15" s="57">
        <f t="shared" si="10"/>
        <v>5.1049506804393859E-2</v>
      </c>
      <c r="I15" s="57">
        <f t="shared" si="10"/>
        <v>-5.4481620564573459E-2</v>
      </c>
      <c r="K15" s="57"/>
      <c r="L15" s="120"/>
      <c r="N15" s="57"/>
      <c r="O15" s="120"/>
    </row>
    <row r="16" spans="1:15" ht="14.5" customHeight="1" x14ac:dyDescent="0.3">
      <c r="A16" s="58" t="s">
        <v>334</v>
      </c>
      <c r="D16" s="38">
        <f>(-AIDA!D218+AIDA!D223)/10^6</f>
        <v>-5.852449</v>
      </c>
      <c r="E16" s="38">
        <f>(-AIDA!E218+AIDA!E223)/10^6</f>
        <v>-6.0684709999999997</v>
      </c>
      <c r="F16" s="38">
        <f>(-AIDA!F218+AIDA!F223)/10^6</f>
        <v>-19.023153000000001</v>
      </c>
      <c r="G16" s="38">
        <f>(-AIDA!G218+AIDA!G223)/10^6</f>
        <v>-5.1251389999999999</v>
      </c>
      <c r="H16" s="38">
        <f>(-AIDA!H218+AIDA!H223)/10^6</f>
        <v>-3.694763</v>
      </c>
      <c r="I16" s="126">
        <f>(-AIDA!I218+AIDA!I223)/10^6</f>
        <v>-58.698754000000001</v>
      </c>
      <c r="K16" s="38">
        <f t="shared" si="1"/>
        <v>-12.954682000000002</v>
      </c>
      <c r="L16" s="112">
        <f t="shared" si="2"/>
        <v>2.1347522300098332</v>
      </c>
      <c r="N16" s="38">
        <f t="shared" si="3"/>
        <v>-52.630282999999999</v>
      </c>
      <c r="O16" s="112">
        <f t="shared" si="4"/>
        <v>8.6727419476833632</v>
      </c>
    </row>
    <row r="17" spans="1:15" ht="14.5" customHeight="1" x14ac:dyDescent="0.3">
      <c r="A17" s="52" t="s">
        <v>335</v>
      </c>
      <c r="B17" s="53"/>
      <c r="C17" s="53"/>
      <c r="D17" s="54">
        <f t="shared" ref="D17" si="11">+D16+D14</f>
        <v>7.2039719999999949</v>
      </c>
      <c r="E17" s="54">
        <f>+E16+E14</f>
        <v>5.7098229999999903</v>
      </c>
      <c r="F17" s="54">
        <f>+F16+F14</f>
        <v>-1.8471499999999992</v>
      </c>
      <c r="G17" s="54">
        <f>+G16+G14</f>
        <v>1.94699500000001</v>
      </c>
      <c r="H17" s="54">
        <f>+H16+H14</f>
        <v>3.0742579999999844</v>
      </c>
      <c r="I17" s="54">
        <f>+I16+I14</f>
        <v>-67.830950000000001</v>
      </c>
      <c r="K17" s="54">
        <f t="shared" si="1"/>
        <v>-7.5569729999999895</v>
      </c>
      <c r="L17" s="119">
        <f t="shared" si="2"/>
        <v>-1.3235038984570979</v>
      </c>
      <c r="N17" s="54">
        <f t="shared" si="3"/>
        <v>-73.540772999999987</v>
      </c>
      <c r="O17" s="119">
        <f t="shared" si="4"/>
        <v>-12.879693994016998</v>
      </c>
    </row>
    <row r="18" spans="1:15" ht="14.5" customHeight="1" x14ac:dyDescent="0.3">
      <c r="A18" s="59" t="s">
        <v>327</v>
      </c>
      <c r="B18" s="56"/>
      <c r="C18" s="56"/>
      <c r="D18" s="57">
        <f>+D17/D$3</f>
        <v>6.8886442409825749E-2</v>
      </c>
      <c r="E18" s="57">
        <f t="shared" ref="E18:I18" si="12">+E17/E$3</f>
        <v>5.17309429212435E-2</v>
      </c>
      <c r="F18" s="57">
        <f t="shared" si="12"/>
        <v>-1.4804195509728765E-2</v>
      </c>
      <c r="G18" s="57">
        <f t="shared" si="12"/>
        <v>1.8078294965976831E-2</v>
      </c>
      <c r="H18" s="57">
        <f t="shared" si="12"/>
        <v>2.318494132156804E-2</v>
      </c>
      <c r="I18" s="57">
        <f t="shared" si="12"/>
        <v>-0.40467156863853471</v>
      </c>
      <c r="K18" s="57"/>
      <c r="L18" s="120"/>
      <c r="N18" s="57"/>
      <c r="O18" s="120"/>
    </row>
    <row r="19" spans="1:15" ht="14.5" customHeight="1" x14ac:dyDescent="0.3">
      <c r="A19" s="60" t="s">
        <v>336</v>
      </c>
      <c r="B19" s="60"/>
      <c r="C19" s="60"/>
      <c r="D19" s="60">
        <f>+(-AIDA!D225-AIDA!D226)/10^6</f>
        <v>-0.25</v>
      </c>
      <c r="E19" s="60">
        <f>+(-AIDA!E225-AIDA!E226)/10^6</f>
        <v>-0.79946399999999995</v>
      </c>
      <c r="F19" s="60">
        <f>+(-AIDA!F225-AIDA!F226)/10^6</f>
        <v>-0.18126800000000001</v>
      </c>
      <c r="G19" s="60">
        <f>+(-AIDA!G225-AIDA!G226)/10^6</f>
        <v>-1.454E-3</v>
      </c>
      <c r="H19" s="60">
        <f>+(-AIDA!H225-AIDA!H226)/10^6</f>
        <v>0</v>
      </c>
      <c r="I19" s="60">
        <f>+(-AIDA!I225-AIDA!I226)/10^6</f>
        <v>0</v>
      </c>
      <c r="K19" s="60">
        <f t="shared" si="1"/>
        <v>0.61819599999999997</v>
      </c>
      <c r="L19" s="112">
        <f t="shared" si="2"/>
        <v>-0.77326308626779938</v>
      </c>
      <c r="N19" s="60">
        <f t="shared" si="3"/>
        <v>0.79946399999999995</v>
      </c>
      <c r="O19" s="112">
        <f t="shared" si="4"/>
        <v>-1</v>
      </c>
    </row>
    <row r="20" spans="1:15" ht="14.5" customHeight="1" x14ac:dyDescent="0.3">
      <c r="A20" s="34" t="s">
        <v>337</v>
      </c>
      <c r="D20" s="60">
        <f>+(AIDA!D233+AIDA!D237)/10^6</f>
        <v>4.3350000000000003E-3</v>
      </c>
      <c r="E20" s="60">
        <f>+(AIDA!E233+AIDA!E237)/10^6</f>
        <v>8.7150000000000005E-3</v>
      </c>
      <c r="F20" s="60">
        <f>+(AIDA!F233+AIDA!F237)/10^6</f>
        <v>3.568E-3</v>
      </c>
      <c r="G20" s="60">
        <f>+(AIDA!G233+AIDA!G237)/10^6</f>
        <v>3.4104000000000002E-2</v>
      </c>
      <c r="H20" s="60">
        <f>+(AIDA!H233+AIDA!H237)/10^6</f>
        <v>1.2844E-2</v>
      </c>
      <c r="I20" s="60">
        <f>+(AIDA!I233+AIDA!I237)/10^6</f>
        <v>9.0121000000000007E-2</v>
      </c>
      <c r="K20" s="60">
        <f t="shared" si="1"/>
        <v>-5.1470000000000005E-3</v>
      </c>
      <c r="L20" s="112">
        <f t="shared" si="2"/>
        <v>-0.59059093516924843</v>
      </c>
      <c r="N20" s="60">
        <f t="shared" si="3"/>
        <v>8.1406000000000006E-2</v>
      </c>
      <c r="O20" s="112">
        <f t="shared" si="4"/>
        <v>9.3409064830751571</v>
      </c>
    </row>
    <row r="21" spans="1:15" ht="14.5" customHeight="1" x14ac:dyDescent="0.3">
      <c r="A21" s="34" t="s">
        <v>338</v>
      </c>
      <c r="D21" s="60">
        <f>-AIDA!D247/10^6</f>
        <v>-1.0910070000000001</v>
      </c>
      <c r="E21" s="60">
        <f>-AIDA!E247/10^6</f>
        <v>-1.045685</v>
      </c>
      <c r="F21" s="60">
        <f>-AIDA!F247/10^6</f>
        <v>-3.9515560000000001</v>
      </c>
      <c r="G21" s="60">
        <f>-AIDA!G247/10^6</f>
        <v>-4.9816630000000002</v>
      </c>
      <c r="H21" s="60">
        <f>-AIDA!H247/10^6</f>
        <v>-5.0741990000000001</v>
      </c>
      <c r="I21" s="60">
        <f>-AIDA!I247/10^6</f>
        <v>-5.8396299999999997</v>
      </c>
      <c r="K21" s="60">
        <f t="shared" si="1"/>
        <v>-2.9058710000000003</v>
      </c>
      <c r="L21" s="112">
        <f t="shared" si="2"/>
        <v>2.7789162128174354</v>
      </c>
      <c r="N21" s="60">
        <f t="shared" si="3"/>
        <v>-4.7939449999999999</v>
      </c>
      <c r="O21" s="112">
        <f t="shared" si="4"/>
        <v>4.5845020249884048</v>
      </c>
    </row>
    <row r="22" spans="1:15" ht="14.5" customHeight="1" x14ac:dyDescent="0.3">
      <c r="A22" s="34" t="s">
        <v>339</v>
      </c>
      <c r="D22" s="60">
        <f>+AIDA!D250/10^6</f>
        <v>-0.49769600000000003</v>
      </c>
      <c r="E22" s="60">
        <f>+AIDA!E250/10^6</f>
        <v>-0.25498799999999999</v>
      </c>
      <c r="F22" s="60">
        <f>+AIDA!F250/10^6</f>
        <v>0.23871500000000001</v>
      </c>
      <c r="G22" s="60">
        <f>+AIDA!G250/10^6</f>
        <v>-1.0239050000000001</v>
      </c>
      <c r="H22" s="60">
        <f>+AIDA!H250/10^6</f>
        <v>0.99972700000000003</v>
      </c>
      <c r="I22" s="60">
        <f>+AIDA!I250/10^6</f>
        <v>-6.6584000000000004E-2</v>
      </c>
      <c r="K22" s="60">
        <f t="shared" si="1"/>
        <v>0.493703</v>
      </c>
      <c r="L22" s="112">
        <f t="shared" si="2"/>
        <v>-1.9361813104930428</v>
      </c>
      <c r="N22" s="60">
        <f t="shared" si="3"/>
        <v>0.18840399999999999</v>
      </c>
      <c r="O22" s="112">
        <f t="shared" si="4"/>
        <v>-0.73887398622680278</v>
      </c>
    </row>
    <row r="23" spans="1:15" ht="14.5" customHeight="1" x14ac:dyDescent="0.3">
      <c r="A23" s="34" t="s">
        <v>340</v>
      </c>
      <c r="D23" s="60">
        <f>+AIDA!D252/10^6</f>
        <v>0</v>
      </c>
      <c r="E23" s="60">
        <f>+AIDA!E252/10^6</f>
        <v>0</v>
      </c>
      <c r="F23" s="60">
        <f>+AIDA!F252/10^6</f>
        <v>0</v>
      </c>
      <c r="G23" s="60">
        <f>+AIDA!G252/10^6</f>
        <v>0</v>
      </c>
      <c r="H23" s="60">
        <f>+AIDA!H252/10^6</f>
        <v>0</v>
      </c>
      <c r="I23" s="60">
        <f>+AIDA!I252/10^6</f>
        <v>-4.6906999999999997E-2</v>
      </c>
      <c r="K23" s="60">
        <f t="shared" si="1"/>
        <v>0</v>
      </c>
      <c r="L23" s="112" t="str">
        <f t="shared" si="2"/>
        <v/>
      </c>
      <c r="N23" s="60">
        <f t="shared" si="3"/>
        <v>-4.6906999999999997E-2</v>
      </c>
      <c r="O23" s="112" t="str">
        <f t="shared" si="4"/>
        <v/>
      </c>
    </row>
    <row r="24" spans="1:15" ht="14.5" customHeight="1" x14ac:dyDescent="0.3">
      <c r="A24" s="34" t="s">
        <v>341</v>
      </c>
      <c r="D24" s="60">
        <f>+AIDA!D266/10^6</f>
        <v>1.565E-3</v>
      </c>
      <c r="E24" s="60">
        <f>+AIDA!E266/10^6</f>
        <v>1.7899999999999999E-4</v>
      </c>
      <c r="F24" s="60">
        <f>+AIDA!F266/10^6</f>
        <v>0</v>
      </c>
      <c r="G24" s="60">
        <f>+AIDA!G266/10^6</f>
        <v>-9.9999999999999995E-7</v>
      </c>
      <c r="H24" s="60">
        <f>+AIDA!H266/10^6</f>
        <v>0</v>
      </c>
      <c r="I24" s="60">
        <f>+AIDA!I266/10^6</f>
        <v>0</v>
      </c>
      <c r="K24" s="60">
        <f t="shared" si="1"/>
        <v>-1.7899999999999999E-4</v>
      </c>
      <c r="L24" s="112">
        <f t="shared" si="2"/>
        <v>-1</v>
      </c>
      <c r="N24" s="60">
        <f t="shared" si="3"/>
        <v>-1.7899999999999999E-4</v>
      </c>
      <c r="O24" s="112">
        <f t="shared" si="4"/>
        <v>-1</v>
      </c>
    </row>
    <row r="25" spans="1:15" ht="14.5" customHeight="1" x14ac:dyDescent="0.3">
      <c r="A25" s="61" t="s">
        <v>342</v>
      </c>
      <c r="B25" s="61"/>
      <c r="C25" s="61"/>
      <c r="D25" s="61">
        <f t="shared" ref="D25" si="13">+D24+D23+D22+D21+D20+D19+D17</f>
        <v>5.3711689999999948</v>
      </c>
      <c r="E25" s="61">
        <f>+E24+E23+E22+E21+E20+E19+E17</f>
        <v>3.6185799999999904</v>
      </c>
      <c r="F25" s="61">
        <f>+F24+F23+F22+F21+F20+F19+F17</f>
        <v>-5.7376909999999999</v>
      </c>
      <c r="G25" s="61">
        <f>+G24+G23+G22+G21+G20+G19+G17</f>
        <v>-4.0259239999999901</v>
      </c>
      <c r="H25" s="61">
        <f>+H24+H23+H22+H21+H20+H19+H17</f>
        <v>-0.9873700000000154</v>
      </c>
      <c r="I25" s="61">
        <f>+I24+I23+I22+I21+I20+I19+I17</f>
        <v>-73.693950000000001</v>
      </c>
      <c r="K25" s="61">
        <f t="shared" si="1"/>
        <v>-9.3562709999999907</v>
      </c>
      <c r="L25" s="121">
        <f t="shared" si="2"/>
        <v>-2.5856194971508204</v>
      </c>
      <c r="N25" s="61">
        <f t="shared" si="3"/>
        <v>-77.312529999999995</v>
      </c>
      <c r="O25" s="121">
        <f t="shared" si="4"/>
        <v>-21.365433402052794</v>
      </c>
    </row>
    <row r="26" spans="1:15" ht="14.5" customHeight="1" x14ac:dyDescent="0.3">
      <c r="A26" s="59" t="s">
        <v>327</v>
      </c>
      <c r="B26" s="59"/>
      <c r="C26" s="59"/>
      <c r="D26" s="57">
        <f>+D25/D$3</f>
        <v>5.1360655481717761E-2</v>
      </c>
      <c r="E26" s="57">
        <f t="shared" ref="E26:I26" si="14">+E25/E$3</f>
        <v>3.2784300920703342E-2</v>
      </c>
      <c r="F26" s="57">
        <f t="shared" si="14"/>
        <v>-4.5985382528983126E-2</v>
      </c>
      <c r="G26" s="57">
        <f t="shared" si="14"/>
        <v>-3.7381627370694198E-2</v>
      </c>
      <c r="H26" s="57">
        <f t="shared" si="14"/>
        <v>-7.4463872299192551E-3</v>
      </c>
      <c r="I26" s="57">
        <f t="shared" si="14"/>
        <v>-0.43964954560815883</v>
      </c>
      <c r="K26" s="57"/>
      <c r="L26" s="120"/>
      <c r="N26" s="57"/>
      <c r="O26" s="120"/>
    </row>
    <row r="27" spans="1:15" ht="14.5" customHeight="1" x14ac:dyDescent="0.3">
      <c r="A27" s="34" t="s">
        <v>343</v>
      </c>
      <c r="D27" s="60">
        <f>-AIDA!D274/10^6</f>
        <v>-2.4977309999999999</v>
      </c>
      <c r="E27" s="60">
        <f>-AIDA!E274/10^6</f>
        <v>-2.2132939999999999</v>
      </c>
      <c r="F27" s="60">
        <f>-AIDA!F274/10^6</f>
        <v>-2.6573020000000001</v>
      </c>
      <c r="G27" s="60">
        <f>-AIDA!G274/10^6</f>
        <v>-1.510921</v>
      </c>
      <c r="H27" s="60">
        <f>-AIDA!H274/10^6</f>
        <v>-1.9442870000000001</v>
      </c>
      <c r="I27" s="60">
        <f>-AIDA!I274/10^6</f>
        <v>-0.440361</v>
      </c>
      <c r="K27" s="60">
        <f t="shared" si="1"/>
        <v>-0.44400800000000018</v>
      </c>
      <c r="L27" s="112">
        <f t="shared" si="2"/>
        <v>0.20060958914631333</v>
      </c>
      <c r="N27" s="60">
        <f t="shared" si="3"/>
        <v>1.7729329999999999</v>
      </c>
      <c r="O27" s="112">
        <f t="shared" si="4"/>
        <v>-0.8010381811002063</v>
      </c>
    </row>
    <row r="28" spans="1:15" ht="14.5" customHeight="1" x14ac:dyDescent="0.3">
      <c r="A28" s="61" t="s">
        <v>344</v>
      </c>
      <c r="B28" s="61"/>
      <c r="C28" s="61"/>
      <c r="D28" s="61">
        <f t="shared" ref="D28" si="15">+D27+D25</f>
        <v>2.8734379999999948</v>
      </c>
      <c r="E28" s="61">
        <f>+E27+E25</f>
        <v>1.4052859999999905</v>
      </c>
      <c r="F28" s="61">
        <f>+F27+F25</f>
        <v>-8.3949929999999995</v>
      </c>
      <c r="G28" s="61">
        <f>+G27+G25</f>
        <v>-5.5368449999999898</v>
      </c>
      <c r="H28" s="61">
        <f>+H27+H25</f>
        <v>-2.9316570000000155</v>
      </c>
      <c r="I28" s="61">
        <f>+I27+I25</f>
        <v>-74.134310999999997</v>
      </c>
      <c r="K28" s="61">
        <f t="shared" si="1"/>
        <v>-9.8002789999999891</v>
      </c>
      <c r="L28" s="121">
        <f t="shared" si="2"/>
        <v>-6.9738679528580345</v>
      </c>
      <c r="N28" s="61">
        <f t="shared" si="3"/>
        <v>-75.539596999999986</v>
      </c>
      <c r="O28" s="121">
        <f t="shared" si="4"/>
        <v>-53.753895648288321</v>
      </c>
    </row>
    <row r="29" spans="1:15" ht="14.5" customHeight="1" x14ac:dyDescent="0.3">
      <c r="A29" s="59" t="s">
        <v>327</v>
      </c>
      <c r="B29" s="59"/>
      <c r="C29" s="59"/>
      <c r="D29" s="57">
        <f>+D28/D$3</f>
        <v>2.7476636681153768E-2</v>
      </c>
      <c r="E29" s="57">
        <f t="shared" ref="E29:I29" si="16">+E28/E$3</f>
        <v>1.2731878002877187E-2</v>
      </c>
      <c r="F29" s="57">
        <f t="shared" si="16"/>
        <v>-6.7282634152507625E-2</v>
      </c>
      <c r="G29" s="57">
        <f t="shared" si="16"/>
        <v>-5.1410875267216036E-2</v>
      </c>
      <c r="H29" s="57">
        <f t="shared" si="16"/>
        <v>-2.2109496184108457E-2</v>
      </c>
      <c r="I29" s="57">
        <f t="shared" si="16"/>
        <v>-0.44227668818300458</v>
      </c>
      <c r="K29" s="57"/>
      <c r="L29" s="120"/>
      <c r="N29" s="57"/>
      <c r="O29" s="1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B2E0E-D72D-4E7F-9863-7756BD492F26}">
  <dimension ref="A1:O26"/>
  <sheetViews>
    <sheetView showGridLines="0" zoomScale="90" zoomScaleNormal="90" workbookViewId="0">
      <selection activeCell="H10" sqref="H10"/>
    </sheetView>
  </sheetViews>
  <sheetFormatPr defaultRowHeight="14.5" x14ac:dyDescent="0.35"/>
  <cols>
    <col min="1" max="15" width="9.6328125" customWidth="1"/>
  </cols>
  <sheetData>
    <row r="1" spans="1:15" ht="14.5" customHeight="1" x14ac:dyDescent="0.35">
      <c r="A1" s="95" t="s">
        <v>384</v>
      </c>
      <c r="B1" s="95"/>
      <c r="C1" s="95"/>
      <c r="D1" s="95"/>
      <c r="E1" s="95">
        <v>2018</v>
      </c>
      <c r="F1" s="95">
        <v>2019</v>
      </c>
      <c r="G1" s="95">
        <v>2020</v>
      </c>
      <c r="H1" s="95">
        <v>2021</v>
      </c>
      <c r="I1" s="95">
        <v>2022</v>
      </c>
      <c r="K1" s="95" t="s">
        <v>396</v>
      </c>
      <c r="L1" s="122" t="s">
        <v>394</v>
      </c>
      <c r="N1" s="95" t="s">
        <v>397</v>
      </c>
      <c r="O1" s="122" t="s">
        <v>394</v>
      </c>
    </row>
    <row r="2" spans="1:15" ht="14.5" customHeight="1" x14ac:dyDescent="0.35">
      <c r="A2" s="51" t="s">
        <v>302</v>
      </c>
      <c r="B2" s="34"/>
      <c r="C2" s="34"/>
      <c r="D2" s="34"/>
      <c r="E2" s="34"/>
      <c r="F2" s="34"/>
      <c r="G2" s="34"/>
      <c r="H2" s="34"/>
      <c r="I2" s="34"/>
      <c r="K2" s="34"/>
      <c r="L2" s="34"/>
      <c r="N2" s="34"/>
      <c r="O2" s="34"/>
    </row>
    <row r="3" spans="1:15" ht="14.5" customHeight="1" x14ac:dyDescent="0.35">
      <c r="A3" s="62" t="s">
        <v>333</v>
      </c>
      <c r="B3" s="53"/>
      <c r="C3" s="53"/>
      <c r="D3" s="63"/>
      <c r="E3" s="54">
        <f>+'Profit&amp;Loss'!E14</f>
        <v>11.77829399999999</v>
      </c>
      <c r="F3" s="54">
        <f>+'Profit&amp;Loss'!F14</f>
        <v>17.176003000000001</v>
      </c>
      <c r="G3" s="54">
        <f>+'Profit&amp;Loss'!G14</f>
        <v>7.0721340000000099</v>
      </c>
      <c r="H3" s="54">
        <f>+'Profit&amp;Loss'!H14</f>
        <v>6.7690209999999844</v>
      </c>
      <c r="I3" s="54">
        <f>+'Profit&amp;Loss'!I14</f>
        <v>-9.1321960000000058</v>
      </c>
      <c r="K3" s="54">
        <f>F3-E3</f>
        <v>5.3977090000000114</v>
      </c>
      <c r="L3" s="119">
        <f>IFERROR(+F3/E3-1,"")</f>
        <v>0.45827596084798161</v>
      </c>
      <c r="N3" s="54">
        <f>I3-E3</f>
        <v>-20.910489999999996</v>
      </c>
      <c r="O3" s="119">
        <f>IFERROR(+I3/E3-1,"")</f>
        <v>-1.7753411487266333</v>
      </c>
    </row>
    <row r="4" spans="1:15" ht="14.5" customHeight="1" x14ac:dyDescent="0.35">
      <c r="A4" s="64" t="s">
        <v>343</v>
      </c>
      <c r="B4" s="34"/>
      <c r="C4" s="34"/>
      <c r="D4" s="34"/>
      <c r="E4" s="60">
        <f>+'Profit&amp;Loss'!E27</f>
        <v>-2.2132939999999999</v>
      </c>
      <c r="F4" s="60">
        <f>+'Profit&amp;Loss'!F27</f>
        <v>-2.6573020000000001</v>
      </c>
      <c r="G4" s="60">
        <f>+'Profit&amp;Loss'!G27</f>
        <v>-1.510921</v>
      </c>
      <c r="H4" s="60">
        <f>+'Profit&amp;Loss'!H27</f>
        <v>-1.9442870000000001</v>
      </c>
      <c r="I4" s="60">
        <f>+'Profit&amp;Loss'!I27</f>
        <v>-0.440361</v>
      </c>
      <c r="K4" s="60"/>
      <c r="L4" s="124"/>
      <c r="N4" s="60"/>
      <c r="O4" s="124"/>
    </row>
    <row r="5" spans="1:15" ht="14.5" customHeight="1" x14ac:dyDescent="0.35">
      <c r="A5" s="65" t="s">
        <v>345</v>
      </c>
      <c r="B5" s="34"/>
      <c r="C5" s="34"/>
      <c r="D5" s="34"/>
      <c r="E5" s="60">
        <f>'Reclassified BS'!D8-'Reclassified BS'!E8</f>
        <v>-2.9747410000000016</v>
      </c>
      <c r="F5" s="60">
        <f>'Reclassified BS'!E8-'Reclassified BS'!F8</f>
        <v>-2.1495989999999985</v>
      </c>
      <c r="G5" s="60">
        <f>'Reclassified BS'!F8-'Reclassified BS'!G8</f>
        <v>-5.1005479999999999</v>
      </c>
      <c r="H5" s="60">
        <f>'Reclassified BS'!G8-'Reclassified BS'!H8</f>
        <v>-13.099986999999999</v>
      </c>
      <c r="I5" s="60">
        <f>'Reclassified BS'!H8-'Reclassified BS'!I8</f>
        <v>0.63757700000000028</v>
      </c>
      <c r="K5" s="60"/>
      <c r="L5" s="124"/>
      <c r="N5" s="60"/>
      <c r="O5" s="124"/>
    </row>
    <row r="6" spans="1:15" ht="14.5" customHeight="1" x14ac:dyDescent="0.35">
      <c r="A6" s="65" t="s">
        <v>346</v>
      </c>
      <c r="B6" s="34"/>
      <c r="C6" s="34"/>
      <c r="D6" s="34"/>
      <c r="E6" s="60">
        <f>'Reclassified BS'!D9-'Reclassified BS'!E9</f>
        <v>-5.0113299999999974</v>
      </c>
      <c r="F6" s="60">
        <f>'Reclassified BS'!E9-'Reclassified BS'!F9</f>
        <v>-2.201465000000006</v>
      </c>
      <c r="G6" s="60">
        <f>'Reclassified BS'!F9-'Reclassified BS'!G9</f>
        <v>10.295002000000004</v>
      </c>
      <c r="H6" s="60">
        <f>'Reclassified BS'!G9-'Reclassified BS'!H9</f>
        <v>-8.0922570000000036</v>
      </c>
      <c r="I6" s="60">
        <f>'Reclassified BS'!H9-'Reclassified BS'!I9</f>
        <v>-3.1908770000000004</v>
      </c>
      <c r="K6" s="60"/>
      <c r="L6" s="124"/>
      <c r="N6" s="60"/>
      <c r="O6" s="124"/>
    </row>
    <row r="7" spans="1:15" ht="14.5" customHeight="1" x14ac:dyDescent="0.35">
      <c r="A7" s="65" t="s">
        <v>347</v>
      </c>
      <c r="B7" s="34"/>
      <c r="C7" s="34"/>
      <c r="D7" s="34"/>
      <c r="E7" s="60">
        <f>'Reclassified BS'!D10-'Reclassified BS'!E10</f>
        <v>1.3542419999999993</v>
      </c>
      <c r="F7" s="60">
        <f>'Reclassified BS'!E10-'Reclassified BS'!F10</f>
        <v>4.7063689999999987</v>
      </c>
      <c r="G7" s="60">
        <f>'Reclassified BS'!F10-'Reclassified BS'!G10</f>
        <v>-2.6360689999999991</v>
      </c>
      <c r="H7" s="60">
        <f>'Reclassified BS'!G10-'Reclassified BS'!H10</f>
        <v>11.864836</v>
      </c>
      <c r="I7" s="60">
        <f>'Reclassified BS'!H10-'Reclassified BS'!I10</f>
        <v>3.0009399999999999</v>
      </c>
      <c r="K7" s="60"/>
      <c r="L7" s="124"/>
      <c r="N7" s="60"/>
      <c r="O7" s="124"/>
    </row>
    <row r="8" spans="1:15" ht="14.5" customHeight="1" x14ac:dyDescent="0.35">
      <c r="A8" s="65" t="s">
        <v>348</v>
      </c>
      <c r="B8" s="34"/>
      <c r="C8" s="34"/>
      <c r="D8" s="34"/>
      <c r="E8" s="60">
        <f>'Reclassified BS'!D11-'Reclassified BS'!E11</f>
        <v>3.0849999999999995E-2</v>
      </c>
      <c r="F8" s="60">
        <f>'Reclassified BS'!E11-'Reclassified BS'!F11</f>
        <v>-1.1041999999999996E-2</v>
      </c>
      <c r="G8" s="60">
        <f>'Reclassified BS'!F11-'Reclassified BS'!G11</f>
        <v>4.5424999999999993E-2</v>
      </c>
      <c r="H8" s="60">
        <f>'Reclassified BS'!G11-'Reclassified BS'!H11</f>
        <v>-4.9455999999999993E-2</v>
      </c>
      <c r="I8" s="60">
        <f>'Reclassified BS'!H11-'Reclassified BS'!I11</f>
        <v>0.68551200000000001</v>
      </c>
      <c r="K8" s="60"/>
      <c r="L8" s="124"/>
      <c r="N8" s="60"/>
      <c r="O8" s="124"/>
    </row>
    <row r="9" spans="1:15" ht="14.5" customHeight="1" x14ac:dyDescent="0.35">
      <c r="A9" s="66" t="s">
        <v>349</v>
      </c>
      <c r="B9" s="67"/>
      <c r="C9" s="67"/>
      <c r="D9" s="67"/>
      <c r="E9" s="68">
        <f>+E8+E7+E6+E5</f>
        <v>-6.6009789999999997</v>
      </c>
      <c r="F9" s="68">
        <f t="shared" ref="F9:I9" si="0">+F8+F7+F6+F5</f>
        <v>0.34426299999999443</v>
      </c>
      <c r="G9" s="68">
        <f t="shared" si="0"/>
        <v>2.6038100000000046</v>
      </c>
      <c r="H9" s="68">
        <f t="shared" si="0"/>
        <v>-9.3768640000000012</v>
      </c>
      <c r="I9" s="68">
        <f t="shared" si="0"/>
        <v>1.1331519999999999</v>
      </c>
      <c r="K9" s="73"/>
      <c r="L9" s="125"/>
      <c r="N9" s="73"/>
      <c r="O9" s="125"/>
    </row>
    <row r="10" spans="1:15" ht="14.5" customHeight="1" x14ac:dyDescent="0.35">
      <c r="A10" s="69" t="s">
        <v>350</v>
      </c>
      <c r="B10" s="34"/>
      <c r="C10" s="34"/>
      <c r="D10" s="34"/>
      <c r="E10" s="60">
        <f>'Reclassified BS'!D15-'Reclassified BS'!E15</f>
        <v>-1.0875660000000003</v>
      </c>
      <c r="F10" s="60">
        <f>'Reclassified BS'!E15-'Reclassified BS'!F15</f>
        <v>-1.6479920000000008</v>
      </c>
      <c r="G10" s="60">
        <f>'Reclassified BS'!F15-'Reclassified BS'!G15</f>
        <v>-1.966048999999999</v>
      </c>
      <c r="H10" s="60">
        <f>'Reclassified BS'!G15-'Reclassified BS'!H15</f>
        <v>-1.8339020000000001</v>
      </c>
      <c r="I10" s="60">
        <f>'Reclassified BS'!H15-'Reclassified BS'!I15</f>
        <v>0.39681999999999906</v>
      </c>
      <c r="K10" s="60"/>
      <c r="L10" s="124"/>
      <c r="N10" s="60"/>
      <c r="O10" s="124"/>
    </row>
    <row r="11" spans="1:15" ht="14.5" customHeight="1" x14ac:dyDescent="0.35">
      <c r="A11" s="70" t="s">
        <v>336</v>
      </c>
      <c r="B11" s="34"/>
      <c r="C11" s="34"/>
      <c r="D11" s="34"/>
      <c r="E11" s="60">
        <f>+'Profit&amp;Loss'!E19</f>
        <v>-0.79946399999999995</v>
      </c>
      <c r="F11" s="60">
        <f>+'Profit&amp;Loss'!F19</f>
        <v>-0.18126800000000001</v>
      </c>
      <c r="G11" s="60">
        <f>+'Profit&amp;Loss'!G19</f>
        <v>-1.454E-3</v>
      </c>
      <c r="H11" s="60">
        <f>+'Profit&amp;Loss'!H19</f>
        <v>0</v>
      </c>
      <c r="I11" s="60">
        <f>+'Profit&amp;Loss'!I19</f>
        <v>0</v>
      </c>
      <c r="K11" s="60"/>
      <c r="L11" s="124"/>
      <c r="N11" s="60"/>
      <c r="O11" s="124"/>
    </row>
    <row r="12" spans="1:15" ht="14.5" customHeight="1" x14ac:dyDescent="0.35">
      <c r="A12" s="62" t="s">
        <v>351</v>
      </c>
      <c r="B12" s="53"/>
      <c r="C12" s="53"/>
      <c r="D12" s="53"/>
      <c r="E12" s="71">
        <f>+E11+E10+E9+E4+E3</f>
        <v>1.0769909999999907</v>
      </c>
      <c r="F12" s="71">
        <f t="shared" ref="F12:I12" si="1">+F11+F10+F9+F4+F3</f>
        <v>13.033703999999995</v>
      </c>
      <c r="G12" s="71">
        <f t="shared" si="1"/>
        <v>6.197520000000015</v>
      </c>
      <c r="H12" s="71">
        <f t="shared" si="1"/>
        <v>-6.3860320000000179</v>
      </c>
      <c r="I12" s="71">
        <f t="shared" si="1"/>
        <v>-8.0425850000000061</v>
      </c>
      <c r="K12" s="61">
        <f t="shared" ref="K12:K24" si="2">F12-E12</f>
        <v>11.956713000000004</v>
      </c>
      <c r="L12" s="123">
        <f t="shared" ref="L12:L24" si="3">IFERROR(+F12/E12-1,"")</f>
        <v>11.101961854834542</v>
      </c>
      <c r="N12" s="61">
        <f t="shared" ref="N12:N24" si="4">I12-E12</f>
        <v>-9.1195759999999968</v>
      </c>
      <c r="O12" s="123">
        <f t="shared" ref="O12:O24" si="5">IFERROR(+I12/E12-1,"")</f>
        <v>-8.4676436479042785</v>
      </c>
    </row>
    <row r="13" spans="1:15" ht="14.5" customHeight="1" x14ac:dyDescent="0.35">
      <c r="A13" s="64" t="s">
        <v>352</v>
      </c>
      <c r="B13" s="34"/>
      <c r="C13" s="34"/>
      <c r="D13" s="34"/>
      <c r="E13" s="60">
        <f>+'Reclassified BS'!D3-'Reclassified BS'!E3+'Profit&amp;Loss'!E16</f>
        <v>-6.9230319999999992</v>
      </c>
      <c r="F13" s="60">
        <f>+'Reclassified BS'!E3-'Reclassified BS'!F3+'Profit&amp;Loss'!F16</f>
        <v>-20.668163</v>
      </c>
      <c r="G13" s="60">
        <f>+'Reclassified BS'!F3-'Reclassified BS'!G3+'Profit&amp;Loss'!G16</f>
        <v>-7.1682309999999996</v>
      </c>
      <c r="H13" s="60">
        <f>+'Reclassified BS'!G3-'Reclassified BS'!H3+'Profit&amp;Loss'!H16</f>
        <v>-5.0662960000000004</v>
      </c>
      <c r="I13" s="60">
        <f>+'Reclassified BS'!H3-'Reclassified BS'!I3+'Profit&amp;Loss'!I16</f>
        <v>-59.46622</v>
      </c>
      <c r="K13" s="60"/>
      <c r="L13" s="112"/>
      <c r="N13" s="60"/>
      <c r="O13" s="112"/>
    </row>
    <row r="14" spans="1:15" ht="14.5" customHeight="1" x14ac:dyDescent="0.35">
      <c r="A14" s="34" t="s">
        <v>353</v>
      </c>
      <c r="B14" s="34"/>
      <c r="C14" s="34"/>
      <c r="D14" s="34"/>
      <c r="E14" s="60">
        <f>+'Reclassified BS'!D21-'Reclassified BS'!E21+'Reclassified BS'!D4-'Reclassified BS'!E4+'Reclassified BS'!D5-'Reclassified BS'!E5</f>
        <v>1.3821030000000025</v>
      </c>
      <c r="F14" s="60">
        <f>+'Reclassified BS'!E21-'Reclassified BS'!F21+'Reclassified BS'!E4-'Reclassified BS'!F4+'Reclassified BS'!E5-'Reclassified BS'!F5</f>
        <v>-144.54640799999999</v>
      </c>
      <c r="G14" s="60">
        <f>+'Reclassified BS'!F21-'Reclassified BS'!G21+'Reclassified BS'!F4-'Reclassified BS'!G4+'Reclassified BS'!F5-'Reclassified BS'!G5</f>
        <v>-9.6252810000000117</v>
      </c>
      <c r="H14" s="60">
        <f>+'Reclassified BS'!G21-'Reclassified BS'!H21+'Reclassified BS'!G4-'Reclassified BS'!H4+'Reclassified BS'!G5-'Reclassified BS'!H5</f>
        <v>-1.6158319999999948</v>
      </c>
      <c r="I14" s="60">
        <f>+'Reclassified BS'!H21-'Reclassified BS'!I21+'Reclassified BS'!H4-'Reclassified BS'!I4+'Reclassified BS'!H5-'Reclassified BS'!I5</f>
        <v>46.09227300000002</v>
      </c>
      <c r="K14" s="60"/>
      <c r="L14" s="112"/>
      <c r="N14" s="60"/>
      <c r="O14" s="112"/>
    </row>
    <row r="15" spans="1:15" ht="14.5" customHeight="1" x14ac:dyDescent="0.35">
      <c r="A15" s="69" t="s">
        <v>354</v>
      </c>
      <c r="B15" s="34"/>
      <c r="C15" s="34"/>
      <c r="D15" s="34"/>
      <c r="E15" s="60">
        <f>+'Profit&amp;Loss'!E24</f>
        <v>1.7899999999999999E-4</v>
      </c>
      <c r="F15" s="60">
        <f>+'Profit&amp;Loss'!F24</f>
        <v>0</v>
      </c>
      <c r="G15" s="60">
        <f>+'Profit&amp;Loss'!G24</f>
        <v>-9.9999999999999995E-7</v>
      </c>
      <c r="H15" s="60">
        <f>+'Profit&amp;Loss'!H24</f>
        <v>0</v>
      </c>
      <c r="I15" s="60">
        <f>+'Profit&amp;Loss'!I24</f>
        <v>0</v>
      </c>
      <c r="K15" s="60"/>
      <c r="L15" s="112"/>
      <c r="N15" s="60"/>
      <c r="O15" s="112"/>
    </row>
    <row r="16" spans="1:15" ht="14.5" customHeight="1" x14ac:dyDescent="0.35">
      <c r="A16" s="62" t="s">
        <v>378</v>
      </c>
      <c r="B16" s="53"/>
      <c r="C16" s="53"/>
      <c r="D16" s="53"/>
      <c r="E16" s="71">
        <f>+E15+E14+E13+E12</f>
        <v>-4.4637590000000058</v>
      </c>
      <c r="F16" s="71">
        <f t="shared" ref="F16:I16" si="6">+F15+F14+F13+F12</f>
        <v>-152.18086699999998</v>
      </c>
      <c r="G16" s="71">
        <f t="shared" si="6"/>
        <v>-10.595992999999996</v>
      </c>
      <c r="H16" s="71">
        <f t="shared" si="6"/>
        <v>-13.068160000000013</v>
      </c>
      <c r="I16" s="71">
        <f t="shared" si="6"/>
        <v>-21.416531999999986</v>
      </c>
      <c r="K16" s="71">
        <f t="shared" si="2"/>
        <v>-147.71710799999997</v>
      </c>
      <c r="L16" s="119">
        <f t="shared" si="3"/>
        <v>33.092536581836022</v>
      </c>
      <c r="N16" s="71">
        <f t="shared" si="4"/>
        <v>-16.952772999999979</v>
      </c>
      <c r="O16" s="119">
        <f t="shared" si="5"/>
        <v>3.7978692398043794</v>
      </c>
    </row>
    <row r="17" spans="1:15" ht="14.5" customHeight="1" x14ac:dyDescent="0.35">
      <c r="A17" s="69" t="s">
        <v>355</v>
      </c>
      <c r="B17" s="34"/>
      <c r="C17" s="34"/>
      <c r="D17" s="34"/>
      <c r="E17" s="60">
        <f>-SUM('Reclassified BS'!E25:E26)+SUM('Reclassified BS'!D25:D26)</f>
        <v>2.3246819999999957</v>
      </c>
      <c r="F17" s="60">
        <f>-SUM('Reclassified BS'!F25:F26)+SUM('Reclassified BS'!E25:E26)</f>
        <v>45.403154000000001</v>
      </c>
      <c r="G17" s="60">
        <f>-SUM('Reclassified BS'!G25:G26)+SUM('Reclassified BS'!F25:F26)</f>
        <v>17.680946999999989</v>
      </c>
      <c r="H17" s="60">
        <f>-SUM('Reclassified BS'!H25:H26)+SUM('Reclassified BS'!G25:G26)</f>
        <v>8.5093210000000141</v>
      </c>
      <c r="I17" s="60">
        <f>-SUM('Reclassified BS'!I25:I26)+SUM('Reclassified BS'!H25:H26)</f>
        <v>3.3152389999999912</v>
      </c>
      <c r="K17" s="60"/>
      <c r="L17" s="112"/>
      <c r="N17" s="60"/>
      <c r="O17" s="112"/>
    </row>
    <row r="18" spans="1:15" ht="14.5" customHeight="1" x14ac:dyDescent="0.35">
      <c r="A18" s="69" t="s">
        <v>356</v>
      </c>
      <c r="B18" s="34"/>
      <c r="C18" s="34"/>
      <c r="D18" s="34"/>
      <c r="E18" s="60">
        <f>-SUM('Reclassified BS'!E28:E29)+SUM('Reclassified BS'!D28:D29)</f>
        <v>1.5563289999999999</v>
      </c>
      <c r="F18" s="60">
        <f>-SUM('Reclassified BS'!F28:F29)+SUM('Reclassified BS'!E28:E29)</f>
        <v>-3.687716</v>
      </c>
      <c r="G18" s="60">
        <f>-SUM('Reclassified BS'!G28:G29)+SUM('Reclassified BS'!F28:F29)</f>
        <v>-0.39233399999999991</v>
      </c>
      <c r="H18" s="60">
        <f>-SUM('Reclassified BS'!H28:H29)+SUM('Reclassified BS'!G28:G29)</f>
        <v>-0.32433600000000001</v>
      </c>
      <c r="I18" s="60">
        <f>-SUM('Reclassified BS'!I28:I29)+SUM('Reclassified BS'!H28:H29)</f>
        <v>2.1777039999999999</v>
      </c>
      <c r="K18" s="60"/>
      <c r="L18" s="112"/>
      <c r="N18" s="60"/>
      <c r="O18" s="112"/>
    </row>
    <row r="19" spans="1:15" ht="14.5" customHeight="1" x14ac:dyDescent="0.35">
      <c r="A19" s="69" t="s">
        <v>357</v>
      </c>
      <c r="B19" s="34"/>
      <c r="C19" s="34"/>
      <c r="D19" s="34"/>
      <c r="E19" s="60">
        <f>+SUM('Profit&amp;Loss'!E20:E23)</f>
        <v>-1.2919579999999999</v>
      </c>
      <c r="F19" s="60">
        <f>+SUM('Profit&amp;Loss'!F20:F23)</f>
        <v>-3.709273</v>
      </c>
      <c r="G19" s="60">
        <f>+SUM('Profit&amp;Loss'!G20:G23)</f>
        <v>-5.9714640000000001</v>
      </c>
      <c r="H19" s="60">
        <f>+SUM('Profit&amp;Loss'!H20:H23)</f>
        <v>-4.0616279999999998</v>
      </c>
      <c r="I19" s="60">
        <f>+SUM('Profit&amp;Loss'!I20:I23)</f>
        <v>-5.8629999999999995</v>
      </c>
      <c r="K19" s="60"/>
      <c r="L19" s="112"/>
      <c r="N19" s="60"/>
      <c r="O19" s="112"/>
    </row>
    <row r="20" spans="1:15" ht="14.5" customHeight="1" x14ac:dyDescent="0.35">
      <c r="A20" s="62" t="s">
        <v>358</v>
      </c>
      <c r="B20" s="53"/>
      <c r="C20" s="53"/>
      <c r="D20" s="53"/>
      <c r="E20" s="71">
        <f>+E19+E18+E17+E16</f>
        <v>-1.8747060000000104</v>
      </c>
      <c r="F20" s="71">
        <f t="shared" ref="F20:I20" si="7">+F19+F18+F17+F16</f>
        <v>-114.17470199999997</v>
      </c>
      <c r="G20" s="71">
        <f t="shared" si="7"/>
        <v>0.72115599999999347</v>
      </c>
      <c r="H20" s="71">
        <f t="shared" si="7"/>
        <v>-8.9448029999999985</v>
      </c>
      <c r="I20" s="71">
        <f t="shared" si="7"/>
        <v>-21.786588999999996</v>
      </c>
      <c r="K20" s="71">
        <f t="shared" si="2"/>
        <v>-112.29999599999996</v>
      </c>
      <c r="L20" s="119">
        <f t="shared" si="3"/>
        <v>59.902723947114552</v>
      </c>
      <c r="N20" s="71">
        <f t="shared" si="4"/>
        <v>-19.911882999999985</v>
      </c>
      <c r="O20" s="119">
        <f t="shared" si="5"/>
        <v>10.621336358874338</v>
      </c>
    </row>
    <row r="21" spans="1:15" ht="14.5" customHeight="1" x14ac:dyDescent="0.35">
      <c r="A21" s="69" t="s">
        <v>359</v>
      </c>
      <c r="B21" s="34"/>
      <c r="C21" s="34"/>
      <c r="D21" s="34"/>
      <c r="E21" s="60">
        <f>'Reclassified BS'!D33-'Reclassified BS'!E33-'Profit&amp;Loss'!E28</f>
        <v>-2.9289999999901895E-3</v>
      </c>
      <c r="F21" s="60">
        <f>'Reclassified BS'!E33-'Reclassified BS'!F33-'Profit&amp;Loss'!F28</f>
        <v>123.75199099999999</v>
      </c>
      <c r="G21" s="60">
        <f>'Reclassified BS'!F33-'Reclassified BS'!G33-'Profit&amp;Loss'!G28</f>
        <v>10.038076000000007</v>
      </c>
      <c r="H21" s="60">
        <f>'Reclassified BS'!G33-'Reclassified BS'!H33-'Profit&amp;Loss'!H28</f>
        <v>-2.297971000000004</v>
      </c>
      <c r="I21" s="60">
        <f>'Reclassified BS'!H33-'Reclassified BS'!I33-'Profit&amp;Loss'!I28</f>
        <v>26.770759000000012</v>
      </c>
      <c r="K21" s="60"/>
      <c r="L21" s="124"/>
      <c r="N21" s="60"/>
      <c r="O21" s="124"/>
    </row>
    <row r="22" spans="1:15" ht="14.5" customHeight="1" x14ac:dyDescent="0.35">
      <c r="A22" s="62" t="s">
        <v>360</v>
      </c>
      <c r="B22" s="53"/>
      <c r="C22" s="53"/>
      <c r="D22" s="53"/>
      <c r="E22" s="71">
        <f>+E21+E20</f>
        <v>-1.8776350000000006</v>
      </c>
      <c r="F22" s="71">
        <f t="shared" ref="F22:I22" si="8">+F21+F20</f>
        <v>9.5772890000000217</v>
      </c>
      <c r="G22" s="71">
        <f t="shared" si="8"/>
        <v>10.759232000000001</v>
      </c>
      <c r="H22" s="71">
        <f t="shared" si="8"/>
        <v>-11.242774000000002</v>
      </c>
      <c r="I22" s="71">
        <f t="shared" si="8"/>
        <v>4.9841700000000166</v>
      </c>
      <c r="K22" s="73"/>
      <c r="L22" s="125"/>
      <c r="N22" s="73"/>
      <c r="O22" s="125"/>
    </row>
    <row r="23" spans="1:15" x14ac:dyDescent="0.35">
      <c r="A23" s="34"/>
      <c r="B23" s="34"/>
      <c r="C23" s="34"/>
      <c r="D23" s="34"/>
      <c r="E23" s="34"/>
      <c r="F23" s="34"/>
      <c r="G23" s="34"/>
      <c r="H23" s="34"/>
      <c r="I23" s="34"/>
      <c r="K23" s="34"/>
      <c r="L23" s="124"/>
      <c r="N23" s="34"/>
      <c r="O23" s="124"/>
    </row>
    <row r="24" spans="1:15" x14ac:dyDescent="0.35">
      <c r="A24" s="62" t="s">
        <v>361</v>
      </c>
      <c r="B24" s="53"/>
      <c r="C24" s="53"/>
      <c r="D24" s="53"/>
      <c r="E24" s="71">
        <f>+E22+'Reclassified BS'!D24</f>
        <v>4.1835009999999997</v>
      </c>
      <c r="F24" s="71">
        <f>+F22+'Reclassified BS'!E24</f>
        <v>13.760790000000021</v>
      </c>
      <c r="G24" s="71">
        <f>+G22+'Reclassified BS'!F24</f>
        <v>24.520022000000001</v>
      </c>
      <c r="H24" s="71">
        <f>+H22+'Reclassified BS'!G24</f>
        <v>13.277247999999998</v>
      </c>
      <c r="I24" s="71">
        <f>+I22+'Reclassified BS'!H24</f>
        <v>18.261418000000017</v>
      </c>
      <c r="K24" s="61">
        <f t="shared" si="2"/>
        <v>9.5772890000000217</v>
      </c>
      <c r="L24" s="123">
        <f t="shared" si="3"/>
        <v>2.2893000384128084</v>
      </c>
      <c r="N24" s="61">
        <f t="shared" si="4"/>
        <v>14.077917000000017</v>
      </c>
      <c r="O24" s="123">
        <f t="shared" si="5"/>
        <v>3.3651042512001359</v>
      </c>
    </row>
    <row r="25" spans="1:15" x14ac:dyDescent="0.35">
      <c r="A25" s="72"/>
      <c r="B25" s="34"/>
      <c r="C25" s="34"/>
      <c r="D25" s="34"/>
      <c r="E25" s="73"/>
      <c r="F25" s="73"/>
      <c r="G25" s="73"/>
      <c r="H25" s="73"/>
      <c r="I25" s="73"/>
    </row>
    <row r="26" spans="1:15" x14ac:dyDescent="0.35">
      <c r="A26" s="75" t="s">
        <v>322</v>
      </c>
      <c r="B26" s="48"/>
      <c r="C26" s="48"/>
      <c r="D26" s="48"/>
      <c r="E26" s="74">
        <f>+E24-'Reclassified BS'!E24</f>
        <v>0</v>
      </c>
      <c r="F26" s="74">
        <f>+F24-'Reclassified BS'!F24</f>
        <v>2.1316282072803006E-14</v>
      </c>
      <c r="G26" s="74">
        <f>+G24-'Reclassified BS'!G24</f>
        <v>0</v>
      </c>
      <c r="H26" s="74">
        <f>+H24-'Reclassified BS'!H24</f>
        <v>0</v>
      </c>
      <c r="I26" s="74">
        <f>+I24-'Reclassified BS'!I24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49759-5D20-45EA-AA50-64960EAD473D}">
  <dimension ref="A1:I25"/>
  <sheetViews>
    <sheetView showGridLines="0" tabSelected="1" zoomScale="90" zoomScaleNormal="90" workbookViewId="0">
      <selection activeCell="S10" sqref="S10"/>
    </sheetView>
  </sheetViews>
  <sheetFormatPr defaultRowHeight="14.5" x14ac:dyDescent="0.35"/>
  <cols>
    <col min="4" max="4" width="9.6328125" customWidth="1"/>
  </cols>
  <sheetData>
    <row r="1" spans="1:9" x14ac:dyDescent="0.35">
      <c r="A1" s="95" t="s">
        <v>254</v>
      </c>
      <c r="B1" s="95"/>
      <c r="C1" s="95"/>
      <c r="D1" s="95">
        <v>2017</v>
      </c>
      <c r="E1" s="95">
        <v>2018</v>
      </c>
      <c r="F1" s="95">
        <v>2019</v>
      </c>
      <c r="G1" s="95">
        <v>2020</v>
      </c>
      <c r="H1" s="95">
        <v>2021</v>
      </c>
      <c r="I1" s="95">
        <v>2022</v>
      </c>
    </row>
    <row r="2" spans="1:9" x14ac:dyDescent="0.35">
      <c r="A2" s="76"/>
      <c r="B2" s="76"/>
      <c r="C2" s="76"/>
      <c r="D2" s="76"/>
      <c r="E2" s="76"/>
      <c r="F2" s="76"/>
      <c r="G2" s="76"/>
      <c r="H2" s="76"/>
      <c r="I2" s="76"/>
    </row>
    <row r="3" spans="1:9" x14ac:dyDescent="0.35">
      <c r="A3" s="95" t="s">
        <v>362</v>
      </c>
      <c r="B3" s="95"/>
      <c r="C3" s="95"/>
      <c r="D3" s="87"/>
      <c r="E3" s="87"/>
      <c r="F3" s="87"/>
      <c r="G3" s="87"/>
      <c r="H3" s="87"/>
      <c r="I3" s="87"/>
    </row>
    <row r="4" spans="1:9" x14ac:dyDescent="0.35">
      <c r="A4" s="89" t="s">
        <v>379</v>
      </c>
      <c r="B4" s="89"/>
      <c r="C4" s="89"/>
      <c r="D4" s="90">
        <f>AIDA!D329</f>
        <v>12.84</v>
      </c>
      <c r="E4" s="90">
        <f>AIDA!E329</f>
        <v>8.26</v>
      </c>
      <c r="F4" s="90">
        <f>AIDA!F329</f>
        <v>-0.94</v>
      </c>
      <c r="G4" s="90">
        <f>AIDA!G329</f>
        <v>0.82</v>
      </c>
      <c r="H4" s="90">
        <f>AIDA!H329</f>
        <v>1.27</v>
      </c>
      <c r="I4" s="90">
        <f>AIDA!I329</f>
        <v>0</v>
      </c>
    </row>
    <row r="5" spans="1:9" x14ac:dyDescent="0.35">
      <c r="A5" s="91" t="s">
        <v>380</v>
      </c>
      <c r="B5" s="91"/>
      <c r="C5" s="91"/>
      <c r="D5" s="92">
        <f>AIDA!D328</f>
        <v>8.2799999999999994</v>
      </c>
      <c r="E5" s="92">
        <f>AIDA!E328</f>
        <v>5.41</v>
      </c>
      <c r="F5" s="92">
        <f>AIDA!F328</f>
        <v>-0.8</v>
      </c>
      <c r="G5" s="92">
        <f>AIDA!G328</f>
        <v>0.72</v>
      </c>
      <c r="H5" s="92">
        <f>AIDA!H328</f>
        <v>1.05</v>
      </c>
      <c r="I5" s="92">
        <f>AIDA!I328</f>
        <v>-25.72</v>
      </c>
    </row>
    <row r="6" spans="1:9" x14ac:dyDescent="0.35">
      <c r="A6" s="89" t="s">
        <v>381</v>
      </c>
      <c r="B6" s="89"/>
      <c r="C6" s="89"/>
      <c r="D6" s="90">
        <f>AIDA!D330</f>
        <v>6.82</v>
      </c>
      <c r="E6" s="90">
        <f>AIDA!E330</f>
        <v>4.47</v>
      </c>
      <c r="F6" s="90">
        <f>AIDA!F330</f>
        <v>-1.64</v>
      </c>
      <c r="G6" s="90">
        <f>AIDA!G330</f>
        <v>1.83</v>
      </c>
      <c r="H6" s="90">
        <f>AIDA!H330</f>
        <v>2.38</v>
      </c>
      <c r="I6" s="90">
        <f>AIDA!I330</f>
        <v>-40.18</v>
      </c>
    </row>
    <row r="7" spans="1:9" x14ac:dyDescent="0.35">
      <c r="A7" s="91" t="s">
        <v>382</v>
      </c>
      <c r="B7" s="91"/>
      <c r="C7" s="91"/>
      <c r="D7" s="92">
        <f>AIDA!D331</f>
        <v>21.53</v>
      </c>
      <c r="E7" s="92">
        <f>AIDA!E331</f>
        <v>9.5299999999999994</v>
      </c>
      <c r="F7" s="92">
        <f>AIDA!F331</f>
        <v>-6.45</v>
      </c>
      <c r="G7" s="92">
        <f>AIDA!G331</f>
        <v>-4.1100000000000003</v>
      </c>
      <c r="H7" s="92">
        <f>AIDA!H331</f>
        <v>-2.27</v>
      </c>
      <c r="I7" s="92">
        <f>AIDA!I331</f>
        <v>-96.6</v>
      </c>
    </row>
    <row r="8" spans="1:9" x14ac:dyDescent="0.35">
      <c r="A8" s="89" t="s">
        <v>373</v>
      </c>
      <c r="B8" s="89"/>
      <c r="C8" s="89"/>
      <c r="D8" s="90">
        <f>AIDA!D315</f>
        <v>1.2</v>
      </c>
      <c r="E8" s="90">
        <f>AIDA!E315</f>
        <v>1.2</v>
      </c>
      <c r="F8" s="90">
        <f>AIDA!F315</f>
        <v>0.48</v>
      </c>
      <c r="G8" s="90">
        <f>AIDA!G315</f>
        <v>0.38</v>
      </c>
      <c r="H8" s="90">
        <f>AIDA!H315</f>
        <v>0.43</v>
      </c>
      <c r="I8" s="90">
        <f>AIDA!I315</f>
        <v>0.63</v>
      </c>
    </row>
    <row r="9" spans="1:9" x14ac:dyDescent="0.35">
      <c r="A9" s="36"/>
      <c r="B9" s="36"/>
      <c r="C9" s="36"/>
      <c r="D9" s="88"/>
      <c r="E9" s="88"/>
      <c r="F9" s="88"/>
      <c r="G9" s="88"/>
      <c r="H9" s="88"/>
      <c r="I9" s="88"/>
    </row>
    <row r="10" spans="1:9" x14ac:dyDescent="0.35">
      <c r="A10" s="95" t="s">
        <v>363</v>
      </c>
      <c r="B10" s="95"/>
      <c r="C10" s="95"/>
      <c r="D10" s="88"/>
      <c r="E10" s="88"/>
      <c r="F10" s="88"/>
      <c r="G10" s="88"/>
      <c r="H10" s="88"/>
      <c r="I10" s="88"/>
    </row>
    <row r="11" spans="1:9" x14ac:dyDescent="0.35">
      <c r="A11" s="76"/>
      <c r="B11" s="76"/>
      <c r="C11" s="76"/>
      <c r="D11" s="88"/>
      <c r="E11" s="88"/>
      <c r="F11" s="88"/>
      <c r="G11" s="88"/>
      <c r="H11" s="88"/>
      <c r="I11" s="88"/>
    </row>
    <row r="12" spans="1:9" x14ac:dyDescent="0.35">
      <c r="A12" s="91" t="s">
        <v>367</v>
      </c>
      <c r="B12" s="91"/>
      <c r="C12" s="91"/>
      <c r="D12" s="92">
        <f>AIDA!D296</f>
        <v>1.25</v>
      </c>
      <c r="E12" s="92">
        <f>AIDA!E296</f>
        <v>0.85</v>
      </c>
      <c r="F12" s="92">
        <f>AIDA!F296</f>
        <v>0.69</v>
      </c>
      <c r="G12" s="92">
        <f>AIDA!G296</f>
        <v>2.31</v>
      </c>
      <c r="H12" s="92">
        <f>AIDA!H296</f>
        <v>1.82</v>
      </c>
      <c r="I12" s="92">
        <f>AIDA!I296</f>
        <v>1.55</v>
      </c>
    </row>
    <row r="13" spans="1:9" x14ac:dyDescent="0.35">
      <c r="A13" s="89" t="s">
        <v>368</v>
      </c>
      <c r="B13" s="89"/>
      <c r="C13" s="89"/>
      <c r="D13" s="90">
        <f>AIDA!D295</f>
        <v>0.83</v>
      </c>
      <c r="E13" s="90">
        <f>AIDA!E295</f>
        <v>0.56000000000000005</v>
      </c>
      <c r="F13" s="90">
        <f>AIDA!F295</f>
        <v>0.48</v>
      </c>
      <c r="G13" s="90">
        <f>AIDA!G295</f>
        <v>1.53</v>
      </c>
      <c r="H13" s="90">
        <f>AIDA!H295</f>
        <v>1.04</v>
      </c>
      <c r="I13" s="90">
        <f>AIDA!I295</f>
        <v>0.99</v>
      </c>
    </row>
    <row r="14" spans="1:9" x14ac:dyDescent="0.35">
      <c r="A14" s="91" t="s">
        <v>369</v>
      </c>
      <c r="B14" s="91"/>
      <c r="C14" s="91"/>
      <c r="D14" s="93">
        <f>AIDA!D321</f>
        <v>101.51</v>
      </c>
      <c r="E14" s="93">
        <f>AIDA!E321</f>
        <v>102.46</v>
      </c>
      <c r="F14" s="93">
        <f>AIDA!F321</f>
        <v>116.81</v>
      </c>
      <c r="G14" s="93">
        <f>AIDA!G321</f>
        <v>119.17</v>
      </c>
      <c r="H14" s="93">
        <f>AIDA!H321</f>
        <v>141.4</v>
      </c>
      <c r="I14" s="93">
        <f>AIDA!I321</f>
        <v>113.16</v>
      </c>
    </row>
    <row r="15" spans="1:9" x14ac:dyDescent="0.35">
      <c r="A15" s="89" t="s">
        <v>370</v>
      </c>
      <c r="B15" s="89"/>
      <c r="C15" s="89"/>
      <c r="D15" s="94">
        <f>AIDA!D320</f>
        <v>98.93</v>
      </c>
      <c r="E15" s="94">
        <f>AIDA!E320</f>
        <v>108.47</v>
      </c>
      <c r="F15" s="94">
        <f>AIDA!F320</f>
        <v>103.02</v>
      </c>
      <c r="G15" s="94">
        <f>AIDA!G320</f>
        <v>84.41</v>
      </c>
      <c r="H15" s="94">
        <f>AIDA!H320</f>
        <v>92.03</v>
      </c>
      <c r="I15" s="94">
        <f>AIDA!I320</f>
        <v>77.45</v>
      </c>
    </row>
    <row r="16" spans="1:9" x14ac:dyDescent="0.35">
      <c r="A16" s="91" t="s">
        <v>371</v>
      </c>
      <c r="B16" s="91"/>
      <c r="C16" s="91"/>
      <c r="D16" s="93">
        <f>AIDA!D319</f>
        <v>127.36</v>
      </c>
      <c r="E16" s="93">
        <f>AIDA!E319</f>
        <v>139.53</v>
      </c>
      <c r="F16" s="93">
        <f>AIDA!F319</f>
        <v>140.62</v>
      </c>
      <c r="G16" s="93">
        <f>AIDA!G319</f>
        <v>207.51</v>
      </c>
      <c r="H16" s="93">
        <f>AIDA!H319</f>
        <v>224.37</v>
      </c>
      <c r="I16" s="93">
        <f>AIDA!I319</f>
        <v>154.01</v>
      </c>
    </row>
    <row r="17" spans="1:9" x14ac:dyDescent="0.35">
      <c r="A17" s="89" t="s">
        <v>372</v>
      </c>
      <c r="B17" s="89"/>
      <c r="C17" s="89"/>
      <c r="D17" s="90">
        <f>+D16+D15-D14</f>
        <v>124.78000000000002</v>
      </c>
      <c r="E17" s="90">
        <f t="shared" ref="E17:I17" si="0">+E16+E15-E14</f>
        <v>145.54000000000002</v>
      </c>
      <c r="F17" s="90">
        <f t="shared" si="0"/>
        <v>126.82999999999998</v>
      </c>
      <c r="G17" s="90">
        <f t="shared" si="0"/>
        <v>172.74999999999994</v>
      </c>
      <c r="H17" s="90">
        <f t="shared" si="0"/>
        <v>174.99999999999997</v>
      </c>
      <c r="I17" s="90">
        <f t="shared" si="0"/>
        <v>118.29999999999998</v>
      </c>
    </row>
    <row r="18" spans="1:9" x14ac:dyDescent="0.35">
      <c r="A18" s="36"/>
      <c r="B18" s="36"/>
      <c r="C18" s="36"/>
      <c r="D18" s="88"/>
      <c r="E18" s="88"/>
      <c r="F18" s="88"/>
      <c r="G18" s="88"/>
      <c r="H18" s="88"/>
      <c r="I18" s="88"/>
    </row>
    <row r="19" spans="1:9" x14ac:dyDescent="0.35">
      <c r="A19" s="95" t="s">
        <v>364</v>
      </c>
      <c r="B19" s="95"/>
      <c r="C19" s="95"/>
      <c r="D19" s="88"/>
      <c r="E19" s="88"/>
      <c r="F19" s="88"/>
      <c r="G19" s="88"/>
      <c r="H19" s="88"/>
      <c r="I19" s="88"/>
    </row>
    <row r="20" spans="1:9" x14ac:dyDescent="0.35">
      <c r="A20" s="91" t="s">
        <v>374</v>
      </c>
      <c r="B20" s="91"/>
      <c r="C20" s="91"/>
      <c r="D20" s="92">
        <f>AIDA!D305</f>
        <v>11.74</v>
      </c>
      <c r="E20" s="92">
        <f>AIDA!E305</f>
        <v>10.52</v>
      </c>
      <c r="F20" s="92">
        <f>AIDA!F305</f>
        <v>4.3</v>
      </c>
      <c r="G20" s="92">
        <f>AIDA!G305</f>
        <v>1.42</v>
      </c>
      <c r="H20" s="92">
        <f>AIDA!H305</f>
        <v>1.34</v>
      </c>
      <c r="I20" s="92">
        <f>AIDA!I305</f>
        <v>0</v>
      </c>
    </row>
    <row r="21" spans="1:9" x14ac:dyDescent="0.35">
      <c r="A21" s="89" t="s">
        <v>375</v>
      </c>
      <c r="B21" s="89"/>
      <c r="C21" s="89"/>
      <c r="D21" s="90">
        <f>AIDA!D310</f>
        <v>3.06</v>
      </c>
      <c r="E21" s="90">
        <f>AIDA!E310</f>
        <v>3.03</v>
      </c>
      <c r="F21" s="90">
        <f>AIDA!F310</f>
        <v>0.66</v>
      </c>
      <c r="G21" s="90">
        <f>AIDA!G310</f>
        <v>0.77</v>
      </c>
      <c r="H21" s="90">
        <f>AIDA!H310</f>
        <v>0.86</v>
      </c>
      <c r="I21" s="90">
        <f>AIDA!I310</f>
        <v>1.53</v>
      </c>
    </row>
    <row r="22" spans="1:9" x14ac:dyDescent="0.35">
      <c r="A22" s="91" t="s">
        <v>376</v>
      </c>
      <c r="B22" s="91"/>
      <c r="C22" s="91"/>
      <c r="D22" s="92">
        <f>-'Reclassified BS'!D30/'Profit&amp;Loss'!D11</f>
        <v>2.6608855770360376</v>
      </c>
      <c r="E22" s="92">
        <f>-'Reclassified BS'!E30/'Profit&amp;Loss'!E11</f>
        <v>3.4328009433296263</v>
      </c>
      <c r="F22" s="92">
        <f>-'Reclassified BS'!F30/'Profit&amp;Loss'!F11</f>
        <v>4.2280948378417529</v>
      </c>
      <c r="G22" s="92">
        <f>-'Reclassified BS'!G30/'Profit&amp;Loss'!G11</f>
        <v>11.152260065670003</v>
      </c>
      <c r="H22" s="92">
        <f>-'Reclassified BS'!H30/'Profit&amp;Loss'!H11</f>
        <v>14.477136854383232</v>
      </c>
      <c r="I22" s="92">
        <f>-'Reclassified BS'!I30/'Profit&amp;Loss'!I11</f>
        <v>-12.070362550992003</v>
      </c>
    </row>
    <row r="23" spans="1:9" x14ac:dyDescent="0.35">
      <c r="A23" s="89" t="s">
        <v>377</v>
      </c>
      <c r="B23" s="89"/>
      <c r="C23" s="89"/>
      <c r="D23" s="90">
        <f>CashFlow!E16/'Profit&amp;Loss'!D11</f>
        <v>-0.34184758992861458</v>
      </c>
      <c r="E23" s="90">
        <f>CashFlow!F16/'Profit&amp;Loss'!E11</f>
        <v>-12.897714368190618</v>
      </c>
      <c r="F23" s="90">
        <f>CashFlow!G16/'Profit&amp;Loss'!F11</f>
        <v>-0.61673530635601537</v>
      </c>
      <c r="G23" s="90">
        <f>CashFlow!H16/'Profit&amp;Loss'!G11</f>
        <v>-1.840811479716528</v>
      </c>
      <c r="H23" s="90">
        <f>CashFlow!I16/'Profit&amp;Loss'!H11</f>
        <v>-3.1445525899995017</v>
      </c>
      <c r="I23" s="90">
        <f>CashFlow!J16/'Profit&amp;Loss'!I11</f>
        <v>0</v>
      </c>
    </row>
    <row r="24" spans="1:9" x14ac:dyDescent="0.35">
      <c r="A24" s="91" t="s">
        <v>383</v>
      </c>
      <c r="B24" s="91"/>
      <c r="C24" s="91"/>
      <c r="D24" s="92">
        <f>AIDA!D304</f>
        <v>2.88</v>
      </c>
      <c r="E24" s="92">
        <f>AIDA!E304</f>
        <v>2.6</v>
      </c>
      <c r="F24" s="92">
        <f>AIDA!F304</f>
        <v>4.62</v>
      </c>
      <c r="G24" s="92">
        <f>AIDA!G304</f>
        <v>4.83</v>
      </c>
      <c r="H24" s="92">
        <f>AIDA!H304</f>
        <v>4.54</v>
      </c>
      <c r="I24" s="92">
        <f>AIDA!I304</f>
        <v>5.08</v>
      </c>
    </row>
    <row r="25" spans="1:9" x14ac:dyDescent="0.35">
      <c r="A25" s="34"/>
      <c r="B25" s="34"/>
      <c r="C25" s="34"/>
      <c r="D25" s="88"/>
      <c r="E25" s="88"/>
      <c r="F25" s="88"/>
      <c r="G25" s="88"/>
      <c r="H25" s="88"/>
      <c r="I25" s="88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6DF2E-CD25-4757-9B43-C483C68F5A68}">
  <dimension ref="A1:I7"/>
  <sheetViews>
    <sheetView showGridLines="0" workbookViewId="0">
      <selection activeCell="I14" sqref="I14"/>
    </sheetView>
  </sheetViews>
  <sheetFormatPr defaultRowHeight="14.5" x14ac:dyDescent="0.35"/>
  <cols>
    <col min="4" max="4" width="11.7265625" bestFit="1" customWidth="1"/>
    <col min="5" max="5" width="11.6328125" bestFit="1" customWidth="1"/>
    <col min="6" max="6" width="10.81640625" bestFit="1" customWidth="1"/>
    <col min="7" max="7" width="11.1796875" bestFit="1" customWidth="1"/>
    <col min="8" max="8" width="13.08984375" bestFit="1" customWidth="1"/>
    <col min="9" max="9" width="13.453125" bestFit="1" customWidth="1"/>
  </cols>
  <sheetData>
    <row r="1" spans="1:9" x14ac:dyDescent="0.35">
      <c r="A1" s="95" t="s">
        <v>404</v>
      </c>
      <c r="B1" s="95"/>
      <c r="C1" s="95"/>
      <c r="D1" s="95" t="s">
        <v>400</v>
      </c>
      <c r="E1" s="95" t="s">
        <v>401</v>
      </c>
      <c r="F1" s="95" t="s">
        <v>402</v>
      </c>
      <c r="G1" s="95" t="s">
        <v>403</v>
      </c>
      <c r="H1" s="95" t="s">
        <v>405</v>
      </c>
      <c r="I1" s="95" t="s">
        <v>408</v>
      </c>
    </row>
    <row r="2" spans="1:9" x14ac:dyDescent="0.35">
      <c r="A2" s="95" t="s">
        <v>410</v>
      </c>
      <c r="B2" s="95"/>
      <c r="C2" s="95"/>
      <c r="D2" s="95"/>
      <c r="E2" s="95"/>
      <c r="F2" s="95"/>
      <c r="G2" s="95"/>
      <c r="H2" s="95" t="s">
        <v>406</v>
      </c>
      <c r="I2" s="95"/>
    </row>
    <row r="3" spans="1:9" x14ac:dyDescent="0.35">
      <c r="A3" s="145" t="s">
        <v>398</v>
      </c>
      <c r="B3" s="146"/>
      <c r="C3" s="147"/>
      <c r="D3" s="143">
        <v>34.624000000000002</v>
      </c>
      <c r="E3" s="134">
        <v>43551</v>
      </c>
      <c r="F3" s="134">
        <v>46108</v>
      </c>
      <c r="G3" s="135">
        <v>4.2500000000000003E-2</v>
      </c>
      <c r="H3" s="133">
        <v>34.624000000000002</v>
      </c>
      <c r="I3" s="136">
        <v>0</v>
      </c>
    </row>
    <row r="4" spans="1:9" x14ac:dyDescent="0.35">
      <c r="A4" s="145" t="s">
        <v>399</v>
      </c>
      <c r="B4" s="146"/>
      <c r="C4" s="147"/>
      <c r="D4" s="144">
        <v>40.375</v>
      </c>
      <c r="E4" s="129">
        <v>43551</v>
      </c>
      <c r="F4" s="129">
        <v>46108</v>
      </c>
      <c r="G4" s="130">
        <v>4.2500000000000003E-2</v>
      </c>
      <c r="H4" s="128">
        <v>40.375</v>
      </c>
      <c r="I4" s="131">
        <v>0</v>
      </c>
    </row>
    <row r="5" spans="1:9" x14ac:dyDescent="0.35">
      <c r="A5" s="145" t="s">
        <v>411</v>
      </c>
      <c r="B5" s="146"/>
      <c r="C5" s="147"/>
      <c r="D5" s="144">
        <v>25</v>
      </c>
      <c r="E5" s="129">
        <v>43551</v>
      </c>
      <c r="F5" s="129">
        <v>45743</v>
      </c>
      <c r="G5" s="130">
        <v>3.7499999999999999E-2</v>
      </c>
      <c r="H5" s="128">
        <v>6</v>
      </c>
      <c r="I5" s="128">
        <v>19</v>
      </c>
    </row>
    <row r="6" spans="1:9" x14ac:dyDescent="0.35">
      <c r="A6" s="142" t="s">
        <v>407</v>
      </c>
      <c r="B6" s="67"/>
      <c r="C6" s="138"/>
      <c r="D6" s="138"/>
      <c r="E6" s="127"/>
      <c r="F6" s="127"/>
      <c r="G6" s="127"/>
      <c r="H6" s="128">
        <v>-3.59</v>
      </c>
      <c r="I6" s="127"/>
    </row>
    <row r="7" spans="1:9" x14ac:dyDescent="0.35">
      <c r="A7" s="139" t="s">
        <v>409</v>
      </c>
      <c r="B7" s="140"/>
      <c r="C7" s="141"/>
      <c r="D7" s="137">
        <f>SUM(D3:D6)</f>
        <v>99.998999999999995</v>
      </c>
      <c r="E7" s="132"/>
      <c r="F7" s="132"/>
      <c r="G7" s="132"/>
      <c r="H7" s="132">
        <f t="shared" ref="H7:I7" si="0">SUM(H3:H6)</f>
        <v>77.408999999999992</v>
      </c>
      <c r="I7" s="132">
        <f t="shared" si="0"/>
        <v>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AF832-B290-4310-B470-19039AA3F574}">
  <dimension ref="A1:I4"/>
  <sheetViews>
    <sheetView workbookViewId="0">
      <selection activeCell="F11" sqref="F11"/>
    </sheetView>
  </sheetViews>
  <sheetFormatPr defaultRowHeight="14.5" x14ac:dyDescent="0.35"/>
  <sheetData>
    <row r="1" spans="1:9" x14ac:dyDescent="0.35">
      <c r="A1" s="151"/>
      <c r="B1" s="151"/>
      <c r="C1" s="151"/>
      <c r="D1" s="151">
        <v>2017</v>
      </c>
      <c r="E1" s="151">
        <v>2018</v>
      </c>
      <c r="F1" s="151">
        <v>2019</v>
      </c>
      <c r="G1" s="151">
        <v>2020</v>
      </c>
      <c r="H1" s="151">
        <v>2021</v>
      </c>
      <c r="I1" s="151">
        <v>2022</v>
      </c>
    </row>
    <row r="2" spans="1:9" x14ac:dyDescent="0.35">
      <c r="A2" s="152" t="str">
        <f>'Reclassified BS'!A30</f>
        <v>Net Debt</v>
      </c>
      <c r="B2" s="152"/>
      <c r="C2" s="152"/>
      <c r="D2" s="128">
        <f>'Reclassified BS'!D30</f>
        <v>-34.745168</v>
      </c>
      <c r="E2" s="128">
        <f>'Reclassified BS'!E30</f>
        <v>-40.503813999999998</v>
      </c>
      <c r="F2" s="128">
        <f>'Reclassified BS'!F30</f>
        <v>-72.641963000000004</v>
      </c>
      <c r="G2" s="128">
        <f>'Reclassified BS'!G30</f>
        <v>-79.171343999999991</v>
      </c>
      <c r="H2" s="128">
        <f>'Reclassified BS'!H30</f>
        <v>-98.599102999999999</v>
      </c>
      <c r="I2" s="128">
        <f>'Reclassified BS'!I30</f>
        <v>-99.107876000000005</v>
      </c>
    </row>
    <row r="3" spans="1:9" x14ac:dyDescent="0.35">
      <c r="A3" s="152" t="str">
        <f>'Profit&amp;Loss'!A11</f>
        <v>EBITDA</v>
      </c>
      <c r="B3" s="152"/>
      <c r="C3" s="152"/>
      <c r="D3" s="128">
        <f>'Profit&amp;Loss'!D11</f>
        <v>13.057745999999995</v>
      </c>
      <c r="E3" s="128">
        <f>'Profit&amp;Loss'!E11</f>
        <v>11.799056999999991</v>
      </c>
      <c r="F3" s="128">
        <f>'Profit&amp;Loss'!F11</f>
        <v>17.180779000000001</v>
      </c>
      <c r="G3" s="128">
        <f>'Profit&amp;Loss'!G11</f>
        <v>7.0991300000000095</v>
      </c>
      <c r="H3" s="128">
        <f>'Profit&amp;Loss'!H11</f>
        <v>6.8106769999999841</v>
      </c>
      <c r="I3" s="128">
        <f>'Profit&amp;Loss'!I11</f>
        <v>-8.2108450000000062</v>
      </c>
    </row>
    <row r="4" spans="1:9" x14ac:dyDescent="0.35">
      <c r="A4" s="153" t="s">
        <v>376</v>
      </c>
      <c r="B4" s="153"/>
      <c r="C4" s="153"/>
      <c r="D4" s="132">
        <f>-(D2/D3)</f>
        <v>2.6608855770360376</v>
      </c>
      <c r="E4" s="132">
        <f t="shared" ref="E4:I4" si="0">-(E2/E3)</f>
        <v>3.4328009433296263</v>
      </c>
      <c r="F4" s="132">
        <f t="shared" si="0"/>
        <v>4.2280948378417529</v>
      </c>
      <c r="G4" s="132">
        <f t="shared" si="0"/>
        <v>11.152260065670003</v>
      </c>
      <c r="H4" s="132">
        <f t="shared" si="0"/>
        <v>14.477136854383232</v>
      </c>
      <c r="I4" s="132">
        <f t="shared" si="0"/>
        <v>-12.070362550992003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9"/>
  <sheetViews>
    <sheetView showGridLines="0" zoomScale="80" zoomScaleNormal="80" workbookViewId="0">
      <selection activeCell="F114" sqref="F114"/>
    </sheetView>
  </sheetViews>
  <sheetFormatPr defaultRowHeight="14.5" customHeight="1" x14ac:dyDescent="0.35"/>
  <cols>
    <col min="1" max="9" width="20.6328125" style="1" customWidth="1"/>
  </cols>
  <sheetData>
    <row r="1" spans="1:9" ht="14.5" customHeight="1" x14ac:dyDescent="0.35">
      <c r="A1" s="25" t="s">
        <v>0</v>
      </c>
      <c r="B1" s="78"/>
    </row>
    <row r="2" spans="1:9" ht="14.5" customHeight="1" x14ac:dyDescent="0.35">
      <c r="A2" s="2"/>
    </row>
    <row r="3" spans="1:9" ht="34" customHeight="1" x14ac:dyDescent="0.35">
      <c r="A3" s="3"/>
      <c r="B3" s="79" t="s">
        <v>1</v>
      </c>
      <c r="C3" s="26"/>
      <c r="D3" s="5" t="s">
        <v>7</v>
      </c>
      <c r="E3" s="5" t="s">
        <v>6</v>
      </c>
      <c r="F3" s="5" t="s">
        <v>5</v>
      </c>
      <c r="G3" s="5" t="s">
        <v>4</v>
      </c>
      <c r="H3" s="5" t="s">
        <v>3</v>
      </c>
      <c r="I3" s="5" t="s">
        <v>2</v>
      </c>
    </row>
    <row r="4" spans="1:9" ht="34" customHeight="1" x14ac:dyDescent="0.35">
      <c r="A4" s="6"/>
      <c r="B4" s="7"/>
      <c r="C4" s="7"/>
      <c r="D4" s="8" t="s">
        <v>8</v>
      </c>
      <c r="E4" s="8" t="s">
        <v>8</v>
      </c>
      <c r="F4" s="8" t="s">
        <v>8</v>
      </c>
      <c r="G4" s="8" t="s">
        <v>8</v>
      </c>
      <c r="H4" s="8" t="s">
        <v>8</v>
      </c>
      <c r="I4" s="8" t="s">
        <v>8</v>
      </c>
    </row>
    <row r="5" spans="1:9" ht="14.5" customHeight="1" x14ac:dyDescent="0.35">
      <c r="A5" s="9"/>
      <c r="B5" s="80" t="s">
        <v>9</v>
      </c>
      <c r="C5" s="10"/>
      <c r="D5" s="11"/>
      <c r="E5" s="11"/>
      <c r="F5" s="11"/>
      <c r="G5" s="11"/>
      <c r="H5" s="11"/>
      <c r="I5" s="11"/>
    </row>
    <row r="6" spans="1:9" ht="14.5" customHeight="1" x14ac:dyDescent="0.35">
      <c r="A6" s="12"/>
      <c r="B6" s="81" t="s">
        <v>10</v>
      </c>
      <c r="C6" s="27"/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28">
        <v>0</v>
      </c>
    </row>
    <row r="7" spans="1:9" ht="14.5" customHeight="1" x14ac:dyDescent="0.35">
      <c r="A7" s="12"/>
      <c r="B7" s="81" t="s">
        <v>11</v>
      </c>
      <c r="C7" s="27"/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28">
        <v>0</v>
      </c>
    </row>
    <row r="8" spans="1:9" ht="14.5" customHeight="1" x14ac:dyDescent="0.35">
      <c r="A8" s="12"/>
      <c r="B8" s="15"/>
      <c r="C8" s="15"/>
      <c r="D8" s="15"/>
      <c r="E8" s="15"/>
      <c r="F8" s="15"/>
      <c r="G8" s="15"/>
      <c r="H8" s="15"/>
      <c r="I8" s="15"/>
    </row>
    <row r="9" spans="1:9" ht="14.5" customHeight="1" x14ac:dyDescent="0.35">
      <c r="A9" s="12"/>
      <c r="B9" s="82" t="s">
        <v>12</v>
      </c>
      <c r="C9" s="13"/>
      <c r="D9" s="14">
        <v>30111617</v>
      </c>
      <c r="E9" s="14">
        <v>29713050</v>
      </c>
      <c r="F9" s="14">
        <v>174835596</v>
      </c>
      <c r="G9" s="14">
        <v>187944933</v>
      </c>
      <c r="H9" s="14">
        <v>195648134</v>
      </c>
      <c r="I9" s="14">
        <v>150947896</v>
      </c>
    </row>
    <row r="10" spans="1:9" ht="14.5" customHeight="1" x14ac:dyDescent="0.35">
      <c r="A10" s="12"/>
      <c r="B10" s="82" t="s">
        <v>13</v>
      </c>
      <c r="C10" s="13"/>
      <c r="D10" s="14">
        <v>27325396</v>
      </c>
      <c r="E10" s="14">
        <v>26072249</v>
      </c>
      <c r="F10" s="14">
        <v>169516092</v>
      </c>
      <c r="G10" s="14">
        <v>180371812</v>
      </c>
      <c r="H10" s="14">
        <v>186635572</v>
      </c>
      <c r="I10" s="148">
        <v>141090873</v>
      </c>
    </row>
    <row r="11" spans="1:9" ht="14.5" customHeight="1" x14ac:dyDescent="0.35">
      <c r="A11" s="12"/>
      <c r="B11" s="82" t="s">
        <v>14</v>
      </c>
      <c r="C11" s="13"/>
      <c r="D11" s="14">
        <v>26543</v>
      </c>
      <c r="E11" s="14">
        <v>14747</v>
      </c>
      <c r="F11" s="14">
        <v>556225</v>
      </c>
      <c r="G11" s="14">
        <v>564273</v>
      </c>
      <c r="H11" s="14">
        <v>720173</v>
      </c>
      <c r="I11" s="14">
        <v>577631</v>
      </c>
    </row>
    <row r="12" spans="1:9" ht="14.5" customHeight="1" x14ac:dyDescent="0.35">
      <c r="A12" s="12"/>
      <c r="B12" s="82" t="s">
        <v>15</v>
      </c>
      <c r="C12" s="13"/>
      <c r="D12" s="14">
        <v>1244754</v>
      </c>
      <c r="E12" s="14">
        <v>1509906</v>
      </c>
      <c r="F12" s="14">
        <v>1929250</v>
      </c>
      <c r="G12" s="14">
        <v>4434943</v>
      </c>
      <c r="H12" s="14">
        <v>7854617</v>
      </c>
      <c r="I12" s="14">
        <v>6844770</v>
      </c>
    </row>
    <row r="13" spans="1:9" ht="14.5" customHeight="1" x14ac:dyDescent="0.35">
      <c r="A13" s="12"/>
      <c r="B13" s="82" t="s">
        <v>16</v>
      </c>
      <c r="C13" s="13"/>
      <c r="D13" s="14">
        <v>1160441</v>
      </c>
      <c r="E13" s="14">
        <v>1491866</v>
      </c>
      <c r="F13" s="14">
        <v>1797359</v>
      </c>
      <c r="G13" s="14">
        <v>2235411</v>
      </c>
      <c r="H13" s="14">
        <v>3941621</v>
      </c>
      <c r="I13" s="14">
        <v>4118079</v>
      </c>
    </row>
    <row r="14" spans="1:9" ht="14.5" customHeight="1" x14ac:dyDescent="0.35">
      <c r="A14" s="12"/>
      <c r="B14" s="82" t="s">
        <v>17</v>
      </c>
      <c r="C14" s="13"/>
      <c r="D14" s="14">
        <v>223451</v>
      </c>
      <c r="E14" s="14">
        <v>234444</v>
      </c>
      <c r="F14" s="14">
        <v>519661</v>
      </c>
      <c r="G14" s="14">
        <v>11509273</v>
      </c>
      <c r="H14" s="14">
        <v>11457627</v>
      </c>
      <c r="I14" s="14">
        <v>10837030</v>
      </c>
    </row>
    <row r="15" spans="1:9" ht="14.5" customHeight="1" x14ac:dyDescent="0.35">
      <c r="A15" s="12"/>
      <c r="B15" s="82" t="s">
        <v>18</v>
      </c>
      <c r="C15" s="13"/>
      <c r="D15" s="14">
        <v>24315232</v>
      </c>
      <c r="E15" s="14">
        <v>21966813</v>
      </c>
      <c r="F15" s="14">
        <v>163756935</v>
      </c>
      <c r="G15" s="14">
        <v>160500015</v>
      </c>
      <c r="H15" s="14">
        <v>160771872</v>
      </c>
      <c r="I15" s="148">
        <v>116435660</v>
      </c>
    </row>
    <row r="16" spans="1:9" ht="14.5" customHeight="1" x14ac:dyDescent="0.35">
      <c r="A16" s="12"/>
      <c r="B16" s="82" t="s">
        <v>19</v>
      </c>
      <c r="C16" s="13"/>
      <c r="D16" s="14">
        <v>24315232</v>
      </c>
      <c r="E16" s="14">
        <v>21966813</v>
      </c>
      <c r="F16" s="14">
        <v>163756935</v>
      </c>
      <c r="G16" s="14">
        <v>160500015</v>
      </c>
      <c r="H16" s="14">
        <v>160771872</v>
      </c>
      <c r="I16" s="14">
        <v>116435660</v>
      </c>
    </row>
    <row r="17" spans="1:9" ht="14.5" customHeight="1" x14ac:dyDescent="0.35">
      <c r="A17" s="12"/>
      <c r="B17" s="82" t="s">
        <v>20</v>
      </c>
      <c r="C17" s="13"/>
      <c r="D17" s="14">
        <v>60073</v>
      </c>
      <c r="E17" s="14">
        <v>41736</v>
      </c>
      <c r="F17" s="14">
        <v>106663</v>
      </c>
      <c r="G17" s="14">
        <v>159695</v>
      </c>
      <c r="H17" s="14">
        <v>226695</v>
      </c>
      <c r="I17" s="14">
        <v>651095</v>
      </c>
    </row>
    <row r="18" spans="1:9" ht="14.5" customHeight="1" x14ac:dyDescent="0.35">
      <c r="A18" s="12"/>
      <c r="B18" s="82" t="s">
        <v>21</v>
      </c>
      <c r="C18" s="13"/>
      <c r="D18" s="14">
        <v>294902</v>
      </c>
      <c r="E18" s="14">
        <v>812737</v>
      </c>
      <c r="F18" s="14">
        <v>849999</v>
      </c>
      <c r="G18" s="14">
        <v>968202</v>
      </c>
      <c r="H18" s="14">
        <v>1662967</v>
      </c>
      <c r="I18" s="14">
        <v>1626608</v>
      </c>
    </row>
    <row r="19" spans="1:9" ht="14.5" customHeight="1" x14ac:dyDescent="0.35">
      <c r="A19" s="12"/>
      <c r="B19" s="82" t="s">
        <v>22</v>
      </c>
      <c r="C19" s="13"/>
      <c r="D19" s="16"/>
      <c r="E19" s="16"/>
      <c r="F19" s="16"/>
      <c r="G19" s="16"/>
      <c r="H19" s="16"/>
      <c r="I19" s="16"/>
    </row>
    <row r="20" spans="1:9" ht="14.5" customHeight="1" x14ac:dyDescent="0.35">
      <c r="A20" s="12"/>
      <c r="B20" s="15"/>
      <c r="C20" s="15"/>
      <c r="D20" s="15"/>
      <c r="E20" s="15"/>
      <c r="F20" s="15"/>
      <c r="G20" s="15"/>
      <c r="H20" s="15"/>
      <c r="I20" s="15"/>
    </row>
    <row r="21" spans="1:9" ht="14.5" customHeight="1" x14ac:dyDescent="0.35">
      <c r="A21" s="12"/>
      <c r="B21" s="82" t="s">
        <v>23</v>
      </c>
      <c r="C21" s="13"/>
      <c r="D21" s="14">
        <v>2701533</v>
      </c>
      <c r="E21" s="14">
        <v>3556094</v>
      </c>
      <c r="F21" s="14">
        <v>5201104</v>
      </c>
      <c r="G21" s="14">
        <v>7244196</v>
      </c>
      <c r="H21" s="14">
        <v>8615729</v>
      </c>
      <c r="I21" s="14">
        <v>9383195</v>
      </c>
    </row>
    <row r="22" spans="1:9" ht="14.5" customHeight="1" x14ac:dyDescent="0.35">
      <c r="A22" s="12"/>
      <c r="B22" s="82" t="s">
        <v>24</v>
      </c>
      <c r="C22" s="13"/>
      <c r="D22" s="16"/>
      <c r="E22" s="16"/>
      <c r="F22" s="16"/>
      <c r="G22" s="16"/>
      <c r="H22" s="16"/>
      <c r="I22" s="16"/>
    </row>
    <row r="23" spans="1:9" ht="14.5" customHeight="1" x14ac:dyDescent="0.35">
      <c r="A23" s="12"/>
      <c r="B23" s="82" t="s">
        <v>25</v>
      </c>
      <c r="C23" s="13"/>
      <c r="D23" s="14">
        <v>81703</v>
      </c>
      <c r="E23" s="14">
        <v>0</v>
      </c>
      <c r="F23" s="14">
        <v>0</v>
      </c>
      <c r="G23" s="14">
        <v>3215</v>
      </c>
      <c r="H23" s="14">
        <v>0</v>
      </c>
      <c r="I23" s="14">
        <v>0</v>
      </c>
    </row>
    <row r="24" spans="1:9" ht="14.5" customHeight="1" x14ac:dyDescent="0.35">
      <c r="A24" s="12"/>
      <c r="B24" s="82" t="s">
        <v>26</v>
      </c>
      <c r="C24" s="13"/>
      <c r="D24" s="14">
        <v>1908973</v>
      </c>
      <c r="E24" s="14">
        <v>2873916</v>
      </c>
      <c r="F24" s="14">
        <v>3968723</v>
      </c>
      <c r="G24" s="14">
        <v>5244269</v>
      </c>
      <c r="H24" s="14">
        <v>3994314</v>
      </c>
      <c r="I24" s="14">
        <v>7396983</v>
      </c>
    </row>
    <row r="25" spans="1:9" ht="14.5" customHeight="1" x14ac:dyDescent="0.35">
      <c r="A25" s="12"/>
      <c r="B25" s="82" t="s">
        <v>27</v>
      </c>
      <c r="C25" s="13"/>
      <c r="D25" s="14">
        <v>87130</v>
      </c>
      <c r="E25" s="14">
        <v>76548</v>
      </c>
      <c r="F25" s="14">
        <v>438863</v>
      </c>
      <c r="G25" s="14">
        <v>1139946</v>
      </c>
      <c r="H25" s="14">
        <v>1478519</v>
      </c>
      <c r="I25" s="14">
        <v>787315</v>
      </c>
    </row>
    <row r="26" spans="1:9" ht="14.5" customHeight="1" x14ac:dyDescent="0.35">
      <c r="A26" s="12"/>
      <c r="B26" s="82" t="s">
        <v>28</v>
      </c>
      <c r="C26" s="13"/>
      <c r="D26" s="14">
        <v>623727</v>
      </c>
      <c r="E26" s="14">
        <v>467979</v>
      </c>
      <c r="F26" s="14">
        <v>564848</v>
      </c>
      <c r="G26" s="14">
        <v>856766</v>
      </c>
      <c r="H26" s="14">
        <v>3085395</v>
      </c>
      <c r="I26" s="14">
        <v>993805</v>
      </c>
    </row>
    <row r="27" spans="1:9" ht="14.5" customHeight="1" x14ac:dyDescent="0.35">
      <c r="A27" s="12"/>
      <c r="B27" s="82" t="s">
        <v>29</v>
      </c>
      <c r="C27" s="13"/>
      <c r="D27" s="14">
        <v>0</v>
      </c>
      <c r="E27" s="14">
        <v>137651</v>
      </c>
      <c r="F27" s="14">
        <v>228670</v>
      </c>
      <c r="G27" s="14">
        <v>0</v>
      </c>
      <c r="H27" s="14">
        <v>57501</v>
      </c>
      <c r="I27" s="14">
        <v>205092</v>
      </c>
    </row>
    <row r="28" spans="1:9" ht="14.5" customHeight="1" x14ac:dyDescent="0.35">
      <c r="A28" s="12"/>
      <c r="B28" s="82" t="s">
        <v>30</v>
      </c>
      <c r="C28" s="13"/>
      <c r="D28" s="16"/>
      <c r="E28" s="16"/>
      <c r="F28" s="16"/>
      <c r="G28" s="16"/>
      <c r="H28" s="16"/>
      <c r="I28" s="16"/>
    </row>
    <row r="29" spans="1:9" ht="14.5" customHeight="1" x14ac:dyDescent="0.35">
      <c r="A29" s="12"/>
      <c r="B29" s="15"/>
      <c r="C29" s="15"/>
      <c r="D29" s="15"/>
      <c r="E29" s="15"/>
      <c r="F29" s="15"/>
      <c r="G29" s="15"/>
      <c r="H29" s="15"/>
      <c r="I29" s="15"/>
    </row>
    <row r="30" spans="1:9" ht="14.5" customHeight="1" x14ac:dyDescent="0.35">
      <c r="A30" s="12"/>
      <c r="B30" s="82" t="s">
        <v>31</v>
      </c>
      <c r="C30" s="13"/>
      <c r="D30" s="14">
        <v>84688</v>
      </c>
      <c r="E30" s="14">
        <v>84707</v>
      </c>
      <c r="F30" s="14">
        <v>118400</v>
      </c>
      <c r="G30" s="14">
        <v>328925</v>
      </c>
      <c r="H30" s="14">
        <v>396833</v>
      </c>
      <c r="I30" s="14">
        <v>473828</v>
      </c>
    </row>
    <row r="31" spans="1:9" ht="14.5" customHeight="1" x14ac:dyDescent="0.35">
      <c r="A31" s="12"/>
      <c r="B31" s="82" t="s">
        <v>32</v>
      </c>
      <c r="C31" s="13"/>
      <c r="D31" s="14">
        <v>0</v>
      </c>
      <c r="E31" s="14">
        <v>0</v>
      </c>
      <c r="F31" s="14">
        <v>0</v>
      </c>
      <c r="G31" s="14">
        <v>0</v>
      </c>
      <c r="H31" s="14">
        <v>50127</v>
      </c>
      <c r="I31" s="14">
        <v>156438</v>
      </c>
    </row>
    <row r="32" spans="1:9" ht="14.5" customHeight="1" x14ac:dyDescent="0.35">
      <c r="A32" s="12"/>
      <c r="B32" s="82" t="s">
        <v>33</v>
      </c>
      <c r="C32" s="13"/>
      <c r="D32" s="14">
        <v>12106</v>
      </c>
      <c r="E32" s="14">
        <v>10979</v>
      </c>
      <c r="F32" s="14">
        <v>12511</v>
      </c>
      <c r="G32" s="14">
        <v>62010</v>
      </c>
      <c r="H32" s="14">
        <v>51735</v>
      </c>
      <c r="I32" s="14">
        <v>51933</v>
      </c>
    </row>
    <row r="33" spans="1:9" ht="14.5" customHeight="1" x14ac:dyDescent="0.35">
      <c r="A33" s="12"/>
      <c r="B33" s="82" t="s">
        <v>34</v>
      </c>
      <c r="C33" s="13"/>
      <c r="D33" s="14">
        <v>0</v>
      </c>
      <c r="E33" s="14">
        <v>0</v>
      </c>
      <c r="F33" s="14">
        <v>0</v>
      </c>
      <c r="G33" s="14">
        <v>11885</v>
      </c>
      <c r="H33" s="14">
        <v>0</v>
      </c>
      <c r="I33" s="14">
        <v>2702</v>
      </c>
    </row>
    <row r="34" spans="1:9" ht="14.5" customHeight="1" x14ac:dyDescent="0.35">
      <c r="A34" s="12"/>
      <c r="B34" s="82" t="s">
        <v>35</v>
      </c>
      <c r="C34" s="13"/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</row>
    <row r="35" spans="1:9" ht="14.5" customHeight="1" x14ac:dyDescent="0.35">
      <c r="A35" s="12"/>
      <c r="B35" s="82" t="s">
        <v>36</v>
      </c>
      <c r="C35" s="13"/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</row>
    <row r="36" spans="1:9" ht="14.5" customHeight="1" x14ac:dyDescent="0.35">
      <c r="A36" s="12"/>
      <c r="B36" s="82" t="s">
        <v>37</v>
      </c>
      <c r="C36" s="13"/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</row>
    <row r="37" spans="1:9" ht="14.5" customHeight="1" x14ac:dyDescent="0.35">
      <c r="A37" s="12"/>
      <c r="B37" s="82" t="s">
        <v>38</v>
      </c>
      <c r="C37" s="13"/>
      <c r="D37" s="14">
        <v>12106</v>
      </c>
      <c r="E37" s="14">
        <v>10979</v>
      </c>
      <c r="F37" s="14">
        <v>12511</v>
      </c>
      <c r="G37" s="14">
        <v>50125</v>
      </c>
      <c r="H37" s="14">
        <v>51735</v>
      </c>
      <c r="I37" s="14">
        <v>49231</v>
      </c>
    </row>
    <row r="38" spans="1:9" ht="14.5" customHeight="1" x14ac:dyDescent="0.35">
      <c r="A38" s="12"/>
      <c r="B38" s="82" t="s">
        <v>39</v>
      </c>
      <c r="C38" s="13"/>
      <c r="D38" s="14">
        <v>72582</v>
      </c>
      <c r="E38" s="14">
        <v>73728</v>
      </c>
      <c r="F38" s="14">
        <v>105889</v>
      </c>
      <c r="G38" s="14">
        <v>266915</v>
      </c>
      <c r="H38" s="14">
        <v>345098</v>
      </c>
      <c r="I38" s="14">
        <v>421895</v>
      </c>
    </row>
    <row r="39" spans="1:9" ht="14.5" customHeight="1" x14ac:dyDescent="0.35">
      <c r="A39" s="12"/>
      <c r="B39" s="82" t="s">
        <v>40</v>
      </c>
      <c r="C39" s="13"/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13638</v>
      </c>
    </row>
    <row r="40" spans="1:9" ht="14.5" customHeight="1" x14ac:dyDescent="0.35">
      <c r="A40" s="12"/>
      <c r="B40" s="82" t="s">
        <v>41</v>
      </c>
      <c r="C40" s="13"/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</row>
    <row r="41" spans="1:9" ht="14.5" customHeight="1" x14ac:dyDescent="0.35">
      <c r="A41" s="12"/>
      <c r="B41" s="82" t="s">
        <v>42</v>
      </c>
      <c r="C41" s="13"/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</row>
    <row r="42" spans="1:9" ht="14.5" customHeight="1" x14ac:dyDescent="0.35">
      <c r="A42" s="12"/>
      <c r="B42" s="82" t="s">
        <v>43</v>
      </c>
      <c r="C42" s="13"/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</row>
    <row r="43" spans="1:9" ht="14.5" customHeight="1" x14ac:dyDescent="0.35">
      <c r="A43" s="12"/>
      <c r="B43" s="82" t="s">
        <v>44</v>
      </c>
      <c r="C43" s="13"/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</row>
    <row r="44" spans="1:9" ht="14.5" customHeight="1" x14ac:dyDescent="0.35">
      <c r="A44" s="12"/>
      <c r="B44" s="82" t="s">
        <v>45</v>
      </c>
      <c r="C44" s="13"/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</row>
    <row r="45" spans="1:9" ht="14.5" customHeight="1" x14ac:dyDescent="0.35">
      <c r="A45" s="12"/>
      <c r="B45" s="82" t="s">
        <v>46</v>
      </c>
      <c r="C45" s="13"/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</row>
    <row r="46" spans="1:9" ht="14.5" customHeight="1" x14ac:dyDescent="0.35">
      <c r="A46" s="12"/>
      <c r="B46" s="82" t="s">
        <v>47</v>
      </c>
      <c r="C46" s="13"/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</row>
    <row r="47" spans="1:9" ht="14.5" customHeight="1" x14ac:dyDescent="0.35">
      <c r="A47" s="12"/>
      <c r="B47" s="82" t="s">
        <v>48</v>
      </c>
      <c r="C47" s="13"/>
      <c r="D47" s="14">
        <v>0</v>
      </c>
      <c r="E47" s="14">
        <v>0</v>
      </c>
      <c r="F47" s="14">
        <v>0</v>
      </c>
      <c r="G47" s="14">
        <v>0</v>
      </c>
      <c r="H47" s="14">
        <v>50127</v>
      </c>
      <c r="I47" s="14">
        <v>142800</v>
      </c>
    </row>
    <row r="48" spans="1:9" ht="14.5" customHeight="1" x14ac:dyDescent="0.35">
      <c r="A48" s="12"/>
      <c r="B48" s="82" t="s">
        <v>49</v>
      </c>
      <c r="C48" s="13"/>
      <c r="D48" s="14">
        <v>72582</v>
      </c>
      <c r="E48" s="14">
        <v>73728</v>
      </c>
      <c r="F48" s="14">
        <v>105889</v>
      </c>
      <c r="G48" s="14">
        <v>266915</v>
      </c>
      <c r="H48" s="14">
        <v>294971</v>
      </c>
      <c r="I48" s="14">
        <v>265457</v>
      </c>
    </row>
    <row r="49" spans="1:9" ht="14.5" customHeight="1" x14ac:dyDescent="0.35">
      <c r="A49" s="12"/>
      <c r="B49" s="82" t="s">
        <v>50</v>
      </c>
      <c r="C49" s="13"/>
      <c r="D49" s="14">
        <v>0</v>
      </c>
      <c r="E49" s="14">
        <v>0</v>
      </c>
      <c r="F49" s="14">
        <v>0</v>
      </c>
      <c r="G49" s="14">
        <v>0</v>
      </c>
      <c r="H49" s="14">
        <v>50127</v>
      </c>
      <c r="I49" s="14">
        <v>156438</v>
      </c>
    </row>
    <row r="50" spans="1:9" ht="14.5" customHeight="1" x14ac:dyDescent="0.35">
      <c r="A50" s="12"/>
      <c r="B50" s="82" t="s">
        <v>51</v>
      </c>
      <c r="C50" s="13"/>
      <c r="D50" s="14">
        <v>72582</v>
      </c>
      <c r="E50" s="14">
        <v>73728</v>
      </c>
      <c r="F50" s="14">
        <v>105889</v>
      </c>
      <c r="G50" s="14">
        <v>266915</v>
      </c>
      <c r="H50" s="14">
        <v>294971</v>
      </c>
      <c r="I50" s="14">
        <v>265457</v>
      </c>
    </row>
    <row r="51" spans="1:9" ht="14.5" customHeight="1" x14ac:dyDescent="0.35">
      <c r="A51" s="12"/>
      <c r="B51" s="82" t="s">
        <v>52</v>
      </c>
      <c r="C51" s="13"/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</row>
    <row r="52" spans="1:9" ht="14.5" customHeight="1" x14ac:dyDescent="0.35">
      <c r="A52" s="12"/>
      <c r="B52" s="82" t="s">
        <v>53</v>
      </c>
      <c r="C52" s="13"/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</row>
    <row r="53" spans="1:9" ht="14.5" customHeight="1" x14ac:dyDescent="0.35">
      <c r="A53" s="12"/>
      <c r="B53" s="82" t="s">
        <v>54</v>
      </c>
      <c r="C53" s="13"/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</row>
    <row r="54" spans="1:9" ht="14.5" customHeight="1" x14ac:dyDescent="0.35">
      <c r="A54" s="12"/>
      <c r="B54" s="82" t="s">
        <v>55</v>
      </c>
      <c r="C54" s="13"/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</row>
    <row r="55" spans="1:9" ht="14.5" customHeight="1" x14ac:dyDescent="0.35">
      <c r="A55" s="12"/>
      <c r="B55" s="15"/>
      <c r="C55" s="15"/>
      <c r="D55" s="15"/>
      <c r="E55" s="15"/>
      <c r="F55" s="15"/>
      <c r="G55" s="15"/>
      <c r="H55" s="15"/>
      <c r="I55" s="15"/>
    </row>
    <row r="56" spans="1:9" ht="14.5" customHeight="1" x14ac:dyDescent="0.35">
      <c r="A56" s="12"/>
      <c r="B56" s="82" t="s">
        <v>56</v>
      </c>
      <c r="C56" s="13"/>
      <c r="D56" s="14">
        <v>53386388</v>
      </c>
      <c r="E56" s="14">
        <v>60279922</v>
      </c>
      <c r="F56" s="14">
        <v>76900242</v>
      </c>
      <c r="G56" s="14">
        <v>83295829</v>
      </c>
      <c r="H56" s="14">
        <v>96436564</v>
      </c>
      <c r="I56" s="14">
        <v>111899016</v>
      </c>
    </row>
    <row r="57" spans="1:9" ht="14.5" customHeight="1" x14ac:dyDescent="0.35">
      <c r="A57" s="12"/>
      <c r="B57" s="82" t="s">
        <v>57</v>
      </c>
      <c r="C57" s="13"/>
      <c r="D57" s="14">
        <v>17770207</v>
      </c>
      <c r="E57" s="14">
        <v>20744948</v>
      </c>
      <c r="F57" s="14">
        <v>22894547</v>
      </c>
      <c r="G57" s="14">
        <v>27995095</v>
      </c>
      <c r="H57" s="14">
        <v>41095082</v>
      </c>
      <c r="I57" s="14">
        <v>40457505</v>
      </c>
    </row>
    <row r="58" spans="1:9" ht="14.5" customHeight="1" x14ac:dyDescent="0.35">
      <c r="A58" s="12"/>
      <c r="B58" s="82" t="s">
        <v>58</v>
      </c>
      <c r="C58" s="13"/>
      <c r="D58" s="14">
        <v>8623147</v>
      </c>
      <c r="E58" s="14">
        <v>11734138</v>
      </c>
      <c r="F58" s="14">
        <v>13520964</v>
      </c>
      <c r="G58" s="14">
        <v>14461255</v>
      </c>
      <c r="H58" s="14">
        <v>25741549</v>
      </c>
      <c r="I58" s="14">
        <v>21571737</v>
      </c>
    </row>
    <row r="59" spans="1:9" ht="14.5" customHeight="1" x14ac:dyDescent="0.35">
      <c r="A59" s="12"/>
      <c r="B59" s="82" t="s">
        <v>59</v>
      </c>
      <c r="C59" s="13"/>
      <c r="D59" s="14">
        <v>978357</v>
      </c>
      <c r="E59" s="14">
        <v>736767</v>
      </c>
      <c r="F59" s="14">
        <v>1116896</v>
      </c>
      <c r="G59" s="14">
        <v>944719</v>
      </c>
      <c r="H59" s="14">
        <v>1253571</v>
      </c>
      <c r="I59" s="14">
        <v>1506563</v>
      </c>
    </row>
    <row r="60" spans="1:9" ht="14.5" customHeight="1" x14ac:dyDescent="0.35">
      <c r="A60" s="12"/>
      <c r="B60" s="82" t="s">
        <v>60</v>
      </c>
      <c r="C60" s="13"/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</row>
    <row r="61" spans="1:9" ht="14.5" customHeight="1" x14ac:dyDescent="0.35">
      <c r="A61" s="12"/>
      <c r="B61" s="82" t="s">
        <v>61</v>
      </c>
      <c r="C61" s="13"/>
      <c r="D61" s="14">
        <v>8168703</v>
      </c>
      <c r="E61" s="14">
        <v>8274043</v>
      </c>
      <c r="F61" s="14">
        <v>8156762</v>
      </c>
      <c r="G61" s="14">
        <v>12535419</v>
      </c>
      <c r="H61" s="14">
        <v>13832128</v>
      </c>
      <c r="I61" s="14">
        <v>16107804</v>
      </c>
    </row>
    <row r="62" spans="1:9" ht="14.5" customHeight="1" x14ac:dyDescent="0.35">
      <c r="A62" s="12"/>
      <c r="B62" s="82" t="s">
        <v>62</v>
      </c>
      <c r="C62" s="13"/>
      <c r="D62" s="14">
        <v>0</v>
      </c>
      <c r="E62" s="14">
        <v>0</v>
      </c>
      <c r="F62" s="14">
        <v>99925</v>
      </c>
      <c r="G62" s="14">
        <v>53702</v>
      </c>
      <c r="H62" s="14">
        <v>267834</v>
      </c>
      <c r="I62" s="14">
        <v>1271401</v>
      </c>
    </row>
    <row r="63" spans="1:9" ht="14.5" customHeight="1" x14ac:dyDescent="0.35">
      <c r="A63" s="12"/>
      <c r="B63" s="82" t="s">
        <v>63</v>
      </c>
      <c r="C63" s="13"/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</row>
    <row r="64" spans="1:9" ht="14.5" customHeight="1" x14ac:dyDescent="0.35">
      <c r="A64" s="12"/>
      <c r="B64" s="15"/>
      <c r="C64" s="15"/>
      <c r="D64" s="15"/>
      <c r="E64" s="15"/>
      <c r="F64" s="15"/>
      <c r="G64" s="15"/>
      <c r="H64" s="15"/>
      <c r="I64" s="15"/>
    </row>
    <row r="65" spans="1:9" ht="14.5" customHeight="1" x14ac:dyDescent="0.35">
      <c r="A65" s="12"/>
      <c r="B65" s="82" t="s">
        <v>64</v>
      </c>
      <c r="C65" s="13"/>
      <c r="D65" s="14">
        <v>29555045</v>
      </c>
      <c r="E65" s="14">
        <v>35347897</v>
      </c>
      <c r="F65" s="14">
        <v>40244905</v>
      </c>
      <c r="G65" s="14">
        <v>30780712</v>
      </c>
      <c r="H65" s="14">
        <v>42064234</v>
      </c>
      <c r="I65" s="14">
        <v>53105715</v>
      </c>
    </row>
    <row r="66" spans="1:9" ht="14.5" customHeight="1" x14ac:dyDescent="0.35">
      <c r="A66" s="12"/>
      <c r="B66" s="83" t="s">
        <v>65</v>
      </c>
      <c r="C66" s="17"/>
      <c r="D66" s="18">
        <v>27621149</v>
      </c>
      <c r="E66" s="18">
        <v>32632479</v>
      </c>
      <c r="F66" s="18">
        <v>34833944</v>
      </c>
      <c r="G66" s="18">
        <v>24538942</v>
      </c>
      <c r="H66" s="18">
        <v>32631199</v>
      </c>
      <c r="I66" s="18">
        <v>35822076</v>
      </c>
    </row>
    <row r="67" spans="1:9" ht="14.5" customHeight="1" x14ac:dyDescent="0.35">
      <c r="A67" s="12"/>
      <c r="B67" s="83" t="s">
        <v>66</v>
      </c>
      <c r="C67" s="17"/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</row>
    <row r="68" spans="1:9" ht="14.5" customHeight="1" x14ac:dyDescent="0.35">
      <c r="A68" s="12"/>
      <c r="B68" s="83" t="s">
        <v>67</v>
      </c>
      <c r="C68" s="17"/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</row>
    <row r="69" spans="1:9" ht="14.5" customHeight="1" x14ac:dyDescent="0.35">
      <c r="A69" s="12"/>
      <c r="B69" s="83" t="s">
        <v>68</v>
      </c>
      <c r="C69" s="17"/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</row>
    <row r="70" spans="1:9" ht="14.5" customHeight="1" x14ac:dyDescent="0.35">
      <c r="A70" s="12"/>
      <c r="B70" s="83" t="s">
        <v>69</v>
      </c>
      <c r="C70" s="17"/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</row>
    <row r="71" spans="1:9" ht="14.5" customHeight="1" x14ac:dyDescent="0.35">
      <c r="A71" s="12"/>
      <c r="B71" s="83" t="s">
        <v>70</v>
      </c>
      <c r="C71" s="17"/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</row>
    <row r="72" spans="1:9" ht="14.5" customHeight="1" x14ac:dyDescent="0.35">
      <c r="A72" s="12"/>
      <c r="B72" s="83" t="s">
        <v>71</v>
      </c>
      <c r="C72" s="17"/>
      <c r="D72" s="18">
        <v>0</v>
      </c>
      <c r="E72" s="18">
        <v>0</v>
      </c>
      <c r="F72" s="18">
        <v>0</v>
      </c>
      <c r="G72" s="18">
        <v>0</v>
      </c>
      <c r="H72" s="18">
        <v>626</v>
      </c>
      <c r="I72" s="18">
        <v>0</v>
      </c>
    </row>
    <row r="73" spans="1:9" ht="14.5" customHeight="1" x14ac:dyDescent="0.35">
      <c r="A73" s="12"/>
      <c r="B73" s="83" t="s">
        <v>72</v>
      </c>
      <c r="C73" s="17"/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</row>
    <row r="74" spans="1:9" ht="14.5" customHeight="1" x14ac:dyDescent="0.35">
      <c r="A74" s="12"/>
      <c r="B74" s="83" t="s">
        <v>73</v>
      </c>
      <c r="C74" s="17"/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</row>
    <row r="75" spans="1:9" ht="14.5" customHeight="1" x14ac:dyDescent="0.35">
      <c r="A75" s="12"/>
      <c r="B75" s="83" t="s">
        <v>74</v>
      </c>
      <c r="C75" s="17"/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</row>
    <row r="76" spans="1:9" ht="14.5" customHeight="1" x14ac:dyDescent="0.35">
      <c r="A76" s="12"/>
      <c r="B76" s="83" t="s">
        <v>75</v>
      </c>
      <c r="C76" s="17"/>
      <c r="D76" s="18">
        <v>926046</v>
      </c>
      <c r="E76" s="18">
        <v>1780558</v>
      </c>
      <c r="F76" s="18">
        <v>2853518</v>
      </c>
      <c r="G76" s="18">
        <v>3046838</v>
      </c>
      <c r="H76" s="18">
        <v>5191158</v>
      </c>
      <c r="I76" s="18">
        <v>11474670</v>
      </c>
    </row>
    <row r="77" spans="1:9" ht="14.5" customHeight="1" x14ac:dyDescent="0.35">
      <c r="A77" s="12"/>
      <c r="B77" s="83" t="s">
        <v>76</v>
      </c>
      <c r="C77" s="17"/>
      <c r="D77" s="18">
        <v>47403</v>
      </c>
      <c r="E77" s="18">
        <v>23701</v>
      </c>
      <c r="F77" s="18">
        <v>0</v>
      </c>
      <c r="G77" s="18">
        <v>112579</v>
      </c>
      <c r="H77" s="18">
        <v>9881</v>
      </c>
      <c r="I77" s="18">
        <v>42188</v>
      </c>
    </row>
    <row r="78" spans="1:9" ht="14.5" customHeight="1" x14ac:dyDescent="0.35">
      <c r="A78" s="12"/>
      <c r="B78" s="83" t="s">
        <v>77</v>
      </c>
      <c r="C78" s="17"/>
      <c r="D78" s="18">
        <v>579987</v>
      </c>
      <c r="E78" s="18">
        <v>621721</v>
      </c>
      <c r="F78" s="18">
        <v>467080</v>
      </c>
      <c r="G78" s="18">
        <v>513431</v>
      </c>
      <c r="H78" s="18">
        <v>834951</v>
      </c>
      <c r="I78" s="18">
        <v>831681</v>
      </c>
    </row>
    <row r="79" spans="1:9" ht="14.5" customHeight="1" x14ac:dyDescent="0.35">
      <c r="A79" s="12"/>
      <c r="B79" s="83" t="s">
        <v>78</v>
      </c>
      <c r="C79" s="17"/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</row>
    <row r="80" spans="1:9" ht="14.5" customHeight="1" x14ac:dyDescent="0.35">
      <c r="A80" s="12"/>
      <c r="B80" s="83" t="s">
        <v>79</v>
      </c>
      <c r="C80" s="17"/>
      <c r="D80" s="18">
        <v>380253</v>
      </c>
      <c r="E80" s="18">
        <v>289034</v>
      </c>
      <c r="F80" s="18">
        <v>893845</v>
      </c>
      <c r="G80" s="18">
        <v>1395744</v>
      </c>
      <c r="H80" s="18">
        <v>1846147</v>
      </c>
      <c r="I80" s="18">
        <v>4933982</v>
      </c>
    </row>
    <row r="81" spans="1:9" ht="14.5" customHeight="1" x14ac:dyDescent="0.35">
      <c r="A81" s="12"/>
      <c r="B81" s="83" t="s">
        <v>80</v>
      </c>
      <c r="C81" s="17"/>
      <c r="D81" s="18">
        <v>207</v>
      </c>
      <c r="E81" s="18">
        <v>404</v>
      </c>
      <c r="F81" s="18">
        <v>1196518</v>
      </c>
      <c r="G81" s="18">
        <v>1173178</v>
      </c>
      <c r="H81" s="18">
        <v>1550272</v>
      </c>
      <c r="I81" s="18">
        <v>1118</v>
      </c>
    </row>
    <row r="82" spans="1:9" ht="14.5" customHeight="1" x14ac:dyDescent="0.35">
      <c r="A82" s="12"/>
      <c r="B82" s="83" t="s">
        <v>81</v>
      </c>
      <c r="C82" s="17"/>
      <c r="D82" s="18">
        <v>29507435</v>
      </c>
      <c r="E82" s="18">
        <v>35323792</v>
      </c>
      <c r="F82" s="18">
        <v>39048387</v>
      </c>
      <c r="G82" s="18">
        <v>29494955</v>
      </c>
      <c r="H82" s="18">
        <v>40504081</v>
      </c>
      <c r="I82" s="18">
        <v>53062409</v>
      </c>
    </row>
    <row r="83" spans="1:9" ht="14.5" customHeight="1" x14ac:dyDescent="0.35">
      <c r="A83" s="12"/>
      <c r="B83" s="83" t="s">
        <v>82</v>
      </c>
      <c r="C83" s="17"/>
      <c r="D83" s="19"/>
      <c r="E83" s="19"/>
      <c r="F83" s="19"/>
      <c r="G83" s="19"/>
      <c r="H83" s="19"/>
      <c r="I83" s="19"/>
    </row>
    <row r="84" spans="1:9" ht="14.5" customHeight="1" x14ac:dyDescent="0.35">
      <c r="A84" s="12"/>
      <c r="B84" s="83" t="s">
        <v>83</v>
      </c>
      <c r="C84" s="17"/>
      <c r="D84" s="18">
        <v>47610</v>
      </c>
      <c r="E84" s="18">
        <v>24105</v>
      </c>
      <c r="F84" s="18">
        <v>1196518</v>
      </c>
      <c r="G84" s="18">
        <v>1285757</v>
      </c>
      <c r="H84" s="18">
        <v>1560153</v>
      </c>
      <c r="I84" s="18">
        <v>43306</v>
      </c>
    </row>
    <row r="85" spans="1:9" ht="14.5" customHeight="1" x14ac:dyDescent="0.35">
      <c r="A85" s="12"/>
      <c r="B85" s="15"/>
      <c r="C85" s="15"/>
      <c r="D85" s="15"/>
      <c r="E85" s="15"/>
      <c r="F85" s="15"/>
      <c r="G85" s="15"/>
      <c r="H85" s="15"/>
      <c r="I85" s="15"/>
    </row>
    <row r="86" spans="1:9" s="32" customFormat="1" ht="14.5" customHeight="1" x14ac:dyDescent="0.35">
      <c r="A86" s="29"/>
      <c r="B86" s="84" t="s">
        <v>84</v>
      </c>
      <c r="C86" s="30"/>
      <c r="D86" s="31">
        <v>0</v>
      </c>
      <c r="E86" s="31">
        <v>3576</v>
      </c>
      <c r="F86" s="31">
        <v>0</v>
      </c>
      <c r="G86" s="31">
        <v>0</v>
      </c>
      <c r="H86" s="31">
        <v>0</v>
      </c>
      <c r="I86" s="31">
        <v>74378</v>
      </c>
    </row>
    <row r="87" spans="1:9" ht="14.5" customHeight="1" x14ac:dyDescent="0.35">
      <c r="A87" s="12"/>
      <c r="B87" s="82" t="s">
        <v>85</v>
      </c>
      <c r="C87" s="13"/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</row>
    <row r="88" spans="1:9" ht="14.5" customHeight="1" x14ac:dyDescent="0.35">
      <c r="A88" s="12"/>
      <c r="B88" s="82" t="s">
        <v>86</v>
      </c>
      <c r="C88" s="13"/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</row>
    <row r="89" spans="1:9" ht="14.5" customHeight="1" x14ac:dyDescent="0.35">
      <c r="A89" s="12"/>
      <c r="B89" s="82" t="s">
        <v>87</v>
      </c>
      <c r="C89" s="13"/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</row>
    <row r="90" spans="1:9" ht="14.5" customHeight="1" x14ac:dyDescent="0.35">
      <c r="A90" s="12"/>
      <c r="B90" s="82" t="s">
        <v>88</v>
      </c>
      <c r="C90" s="13"/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</row>
    <row r="91" spans="1:9" ht="14.5" customHeight="1" x14ac:dyDescent="0.35">
      <c r="A91" s="12"/>
      <c r="B91" s="82" t="s">
        <v>89</v>
      </c>
      <c r="C91" s="13"/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</row>
    <row r="92" spans="1:9" ht="14.5" customHeight="1" x14ac:dyDescent="0.35">
      <c r="A92" s="12"/>
      <c r="B92" s="82" t="s">
        <v>90</v>
      </c>
      <c r="C92" s="13"/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</row>
    <row r="93" spans="1:9" ht="14.5" customHeight="1" x14ac:dyDescent="0.35">
      <c r="A93" s="12"/>
      <c r="B93" s="82" t="s">
        <v>55</v>
      </c>
      <c r="C93" s="13"/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</row>
    <row r="94" spans="1:9" ht="14.5" customHeight="1" x14ac:dyDescent="0.35">
      <c r="A94" s="12"/>
      <c r="B94" s="82" t="s">
        <v>91</v>
      </c>
      <c r="C94" s="13"/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</row>
    <row r="95" spans="1:9" s="32" customFormat="1" ht="14.5" customHeight="1" x14ac:dyDescent="0.35">
      <c r="A95" s="29"/>
      <c r="B95" s="84" t="s">
        <v>92</v>
      </c>
      <c r="C95" s="30"/>
      <c r="D95" s="31">
        <v>0</v>
      </c>
      <c r="E95" s="31">
        <v>3576</v>
      </c>
      <c r="F95" s="31">
        <v>0</v>
      </c>
      <c r="G95" s="31">
        <v>0</v>
      </c>
      <c r="H95" s="31">
        <v>0</v>
      </c>
      <c r="I95" s="31">
        <v>74378</v>
      </c>
    </row>
    <row r="96" spans="1:9" ht="14.5" customHeight="1" x14ac:dyDescent="0.35">
      <c r="A96" s="12"/>
      <c r="B96" s="82" t="s">
        <v>93</v>
      </c>
      <c r="C96" s="13"/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</row>
    <row r="97" spans="1:9" ht="14.5" customHeight="1" x14ac:dyDescent="0.35">
      <c r="A97" s="12"/>
      <c r="B97" s="15"/>
      <c r="C97" s="15"/>
      <c r="D97" s="15"/>
      <c r="E97" s="15"/>
      <c r="F97" s="15"/>
      <c r="G97" s="15"/>
      <c r="H97" s="15"/>
      <c r="I97" s="15"/>
    </row>
    <row r="98" spans="1:9" ht="14.5" customHeight="1" x14ac:dyDescent="0.35">
      <c r="A98" s="12"/>
      <c r="B98" s="82" t="s">
        <v>94</v>
      </c>
      <c r="C98" s="13"/>
      <c r="D98" s="14">
        <v>6061136</v>
      </c>
      <c r="E98" s="14">
        <v>4183501</v>
      </c>
      <c r="F98" s="14">
        <v>13760790</v>
      </c>
      <c r="G98" s="14">
        <v>24520022</v>
      </c>
      <c r="H98" s="14">
        <v>13277248</v>
      </c>
      <c r="I98" s="14">
        <v>18261418</v>
      </c>
    </row>
    <row r="99" spans="1:9" ht="14.5" customHeight="1" x14ac:dyDescent="0.35">
      <c r="A99" s="12"/>
      <c r="B99" s="82" t="s">
        <v>95</v>
      </c>
      <c r="C99" s="13"/>
      <c r="D99" s="14">
        <v>6051385</v>
      </c>
      <c r="E99" s="14">
        <v>4170128</v>
      </c>
      <c r="F99" s="14">
        <v>13738905</v>
      </c>
      <c r="G99" s="14">
        <v>24505238</v>
      </c>
      <c r="H99" s="14">
        <v>13236351</v>
      </c>
      <c r="I99" s="14">
        <v>18192045</v>
      </c>
    </row>
    <row r="100" spans="1:9" ht="14.5" customHeight="1" x14ac:dyDescent="0.35">
      <c r="A100" s="12"/>
      <c r="B100" s="82" t="s">
        <v>96</v>
      </c>
      <c r="C100" s="13"/>
      <c r="D100" s="14">
        <v>0</v>
      </c>
      <c r="E100" s="14">
        <v>0</v>
      </c>
      <c r="F100" s="14">
        <v>8937</v>
      </c>
      <c r="G100" s="14">
        <v>2527</v>
      </c>
      <c r="H100" s="14">
        <v>27247</v>
      </c>
      <c r="I100" s="14">
        <v>46384</v>
      </c>
    </row>
    <row r="101" spans="1:9" ht="14.5" customHeight="1" x14ac:dyDescent="0.35">
      <c r="A101" s="12"/>
      <c r="B101" s="82" t="s">
        <v>97</v>
      </c>
      <c r="C101" s="13"/>
      <c r="D101" s="14">
        <v>9751</v>
      </c>
      <c r="E101" s="14">
        <v>13373</v>
      </c>
      <c r="F101" s="14">
        <v>12948</v>
      </c>
      <c r="G101" s="14">
        <v>12257</v>
      </c>
      <c r="H101" s="14">
        <v>13650</v>
      </c>
      <c r="I101" s="14">
        <v>22989</v>
      </c>
    </row>
    <row r="102" spans="1:9" ht="14.5" customHeight="1" x14ac:dyDescent="0.35">
      <c r="A102" s="12"/>
      <c r="B102" s="15"/>
      <c r="C102" s="15"/>
      <c r="D102" s="15"/>
      <c r="E102" s="15"/>
      <c r="F102" s="15"/>
      <c r="G102" s="15"/>
      <c r="H102" s="15"/>
      <c r="I102" s="15"/>
    </row>
    <row r="103" spans="1:9" ht="14.5" customHeight="1" x14ac:dyDescent="0.35">
      <c r="A103" s="12"/>
      <c r="B103" s="82" t="s">
        <v>98</v>
      </c>
      <c r="C103" s="13"/>
      <c r="D103" s="14">
        <v>446279</v>
      </c>
      <c r="E103" s="14">
        <v>712645</v>
      </c>
      <c r="F103" s="14">
        <v>873180</v>
      </c>
      <c r="G103" s="14">
        <v>764516</v>
      </c>
      <c r="H103" s="14">
        <v>1856577</v>
      </c>
      <c r="I103" s="14">
        <v>840693</v>
      </c>
    </row>
    <row r="104" spans="1:9" ht="14.5" customHeight="1" x14ac:dyDescent="0.35">
      <c r="A104" s="12"/>
      <c r="B104" s="82" t="s">
        <v>99</v>
      </c>
      <c r="C104" s="13"/>
      <c r="D104" s="16"/>
      <c r="E104" s="16"/>
      <c r="F104" s="16"/>
      <c r="G104" s="16"/>
      <c r="H104" s="16"/>
      <c r="I104" s="16"/>
    </row>
    <row r="105" spans="1:9" ht="14.5" customHeight="1" x14ac:dyDescent="0.35">
      <c r="A105" s="12"/>
      <c r="B105" s="15"/>
      <c r="C105" s="15"/>
      <c r="D105" s="15"/>
      <c r="E105" s="15"/>
      <c r="F105" s="15"/>
      <c r="G105" s="15"/>
      <c r="H105" s="15"/>
      <c r="I105" s="15"/>
    </row>
    <row r="106" spans="1:9" ht="14.5" customHeight="1" x14ac:dyDescent="0.35">
      <c r="A106" s="12"/>
      <c r="B106" s="82" t="s">
        <v>100</v>
      </c>
      <c r="C106" s="13"/>
      <c r="D106" s="14">
        <v>83944284</v>
      </c>
      <c r="E106" s="14">
        <v>90705617</v>
      </c>
      <c r="F106" s="14">
        <v>252609018</v>
      </c>
      <c r="G106" s="14">
        <v>272005278</v>
      </c>
      <c r="H106" s="14">
        <v>293941275</v>
      </c>
      <c r="I106" s="14">
        <v>263687605</v>
      </c>
    </row>
    <row r="107" spans="1:9" ht="14.5" customHeight="1" x14ac:dyDescent="0.35">
      <c r="A107" s="12"/>
      <c r="B107" s="15"/>
      <c r="C107" s="15"/>
      <c r="D107" s="15"/>
      <c r="E107" s="15"/>
      <c r="F107" s="15"/>
      <c r="G107" s="15"/>
      <c r="H107" s="15"/>
      <c r="I107" s="15"/>
    </row>
    <row r="108" spans="1:9" ht="14.5" customHeight="1" x14ac:dyDescent="0.35">
      <c r="A108" s="9"/>
      <c r="B108" s="80" t="s">
        <v>101</v>
      </c>
      <c r="C108" s="10"/>
      <c r="D108" s="11"/>
      <c r="E108" s="11"/>
      <c r="F108" s="11"/>
      <c r="G108" s="11"/>
      <c r="H108" s="11"/>
      <c r="I108" s="11"/>
    </row>
    <row r="109" spans="1:9" ht="14.5" customHeight="1" x14ac:dyDescent="0.35">
      <c r="A109" s="12"/>
      <c r="B109" s="15"/>
      <c r="C109" s="15"/>
      <c r="D109" s="15"/>
      <c r="E109" s="15"/>
      <c r="F109" s="15"/>
      <c r="G109" s="15"/>
      <c r="H109" s="15"/>
      <c r="I109" s="15"/>
    </row>
    <row r="110" spans="1:9" ht="14.5" customHeight="1" x14ac:dyDescent="0.35">
      <c r="A110" s="20"/>
      <c r="B110" s="85" t="s">
        <v>102</v>
      </c>
      <c r="C110" s="21"/>
      <c r="D110" s="22"/>
      <c r="E110" s="22"/>
      <c r="F110" s="22"/>
      <c r="G110" s="22"/>
      <c r="H110" s="22"/>
      <c r="I110" s="22"/>
    </row>
    <row r="111" spans="1:9" ht="14.5" customHeight="1" x14ac:dyDescent="0.35">
      <c r="A111" s="12"/>
      <c r="B111" s="15"/>
      <c r="C111" s="15"/>
      <c r="D111" s="15"/>
      <c r="E111" s="15"/>
      <c r="F111" s="15"/>
      <c r="G111" s="15"/>
      <c r="H111" s="15"/>
      <c r="I111" s="15"/>
    </row>
    <row r="112" spans="1:9" ht="14.5" customHeight="1" x14ac:dyDescent="0.35">
      <c r="A112" s="12"/>
      <c r="B112" s="82" t="s">
        <v>103</v>
      </c>
      <c r="C112" s="13"/>
      <c r="D112" s="14">
        <v>13345027</v>
      </c>
      <c r="E112" s="14">
        <v>14747384</v>
      </c>
      <c r="F112" s="14">
        <v>130104382</v>
      </c>
      <c r="G112" s="14">
        <v>134605613</v>
      </c>
      <c r="H112" s="14">
        <v>129375985</v>
      </c>
      <c r="I112" s="14">
        <v>76742406</v>
      </c>
    </row>
    <row r="113" spans="1:9" ht="14.5" customHeight="1" x14ac:dyDescent="0.35">
      <c r="A113" s="12"/>
      <c r="B113" s="82" t="s">
        <v>104</v>
      </c>
      <c r="C113" s="13"/>
      <c r="D113" s="14">
        <v>4008000</v>
      </c>
      <c r="E113" s="14">
        <v>4008000</v>
      </c>
      <c r="F113" s="14">
        <v>4008000</v>
      </c>
      <c r="G113" s="14">
        <v>4008000</v>
      </c>
      <c r="H113" s="14">
        <v>4008000</v>
      </c>
      <c r="I113" s="14">
        <v>4008000</v>
      </c>
    </row>
    <row r="114" spans="1:9" ht="14.5" customHeight="1" x14ac:dyDescent="0.35">
      <c r="A114" s="12"/>
      <c r="B114" s="82" t="s">
        <v>105</v>
      </c>
      <c r="C114" s="13"/>
      <c r="D114" s="14">
        <v>0</v>
      </c>
      <c r="E114" s="14">
        <v>0</v>
      </c>
      <c r="F114" s="14">
        <v>0</v>
      </c>
      <c r="G114" s="14">
        <v>0</v>
      </c>
      <c r="H114" s="16"/>
      <c r="I114" s="14">
        <v>0</v>
      </c>
    </row>
    <row r="115" spans="1:9" ht="14.5" customHeight="1" x14ac:dyDescent="0.35">
      <c r="A115" s="12"/>
      <c r="B115" s="82" t="s">
        <v>106</v>
      </c>
      <c r="C115" s="13"/>
      <c r="D115" s="14">
        <v>0</v>
      </c>
      <c r="E115" s="14">
        <v>0</v>
      </c>
      <c r="F115" s="14">
        <v>0</v>
      </c>
      <c r="G115" s="14">
        <v>0</v>
      </c>
      <c r="H115" s="16"/>
      <c r="I115" s="14">
        <v>0</v>
      </c>
    </row>
    <row r="116" spans="1:9" ht="14.5" customHeight="1" x14ac:dyDescent="0.35">
      <c r="A116" s="12"/>
      <c r="B116" s="82" t="s">
        <v>107</v>
      </c>
      <c r="C116" s="13"/>
      <c r="D116" s="14">
        <v>0</v>
      </c>
      <c r="E116" s="14">
        <v>0</v>
      </c>
      <c r="F116" s="14">
        <v>0</v>
      </c>
      <c r="G116" s="14">
        <v>0</v>
      </c>
      <c r="H116" s="16"/>
      <c r="I116" s="14">
        <v>0</v>
      </c>
    </row>
    <row r="117" spans="1:9" ht="14.5" customHeight="1" x14ac:dyDescent="0.35">
      <c r="A117" s="12"/>
      <c r="B117" s="82" t="s">
        <v>108</v>
      </c>
      <c r="C117" s="13"/>
      <c r="D117" s="14">
        <v>0</v>
      </c>
      <c r="E117" s="14">
        <v>0</v>
      </c>
      <c r="F117" s="14">
        <v>0</v>
      </c>
      <c r="G117" s="14">
        <v>0</v>
      </c>
      <c r="H117" s="16"/>
      <c r="I117" s="14">
        <v>0</v>
      </c>
    </row>
    <row r="118" spans="1:9" ht="14.5" customHeight="1" x14ac:dyDescent="0.35">
      <c r="A118" s="12"/>
      <c r="B118" s="82" t="s">
        <v>109</v>
      </c>
      <c r="C118" s="13"/>
      <c r="D118" s="14">
        <v>4692000</v>
      </c>
      <c r="E118" s="14">
        <v>4692000</v>
      </c>
      <c r="F118" s="14">
        <v>128129814</v>
      </c>
      <c r="G118" s="14">
        <v>119670018</v>
      </c>
      <c r="H118" s="14">
        <v>117625950</v>
      </c>
      <c r="I118" s="14">
        <v>116777532</v>
      </c>
    </row>
    <row r="119" spans="1:9" ht="14.5" customHeight="1" x14ac:dyDescent="0.35">
      <c r="A119" s="12"/>
      <c r="B119" s="82" t="s">
        <v>110</v>
      </c>
      <c r="C119" s="13"/>
      <c r="D119" s="14">
        <v>0</v>
      </c>
      <c r="E119" s="14">
        <v>0</v>
      </c>
      <c r="F119" s="14">
        <v>0</v>
      </c>
      <c r="G119" s="14">
        <v>10340396</v>
      </c>
      <c r="H119" s="14">
        <v>7686006</v>
      </c>
      <c r="I119" s="14">
        <v>7686006</v>
      </c>
    </row>
    <row r="120" spans="1:9" ht="14.5" customHeight="1" x14ac:dyDescent="0.35">
      <c r="A120" s="12"/>
      <c r="B120" s="82" t="s">
        <v>111</v>
      </c>
      <c r="C120" s="13"/>
      <c r="D120" s="14">
        <v>219008</v>
      </c>
      <c r="E120" s="14">
        <v>333578</v>
      </c>
      <c r="F120" s="14">
        <v>375174</v>
      </c>
      <c r="G120" s="14">
        <v>375174</v>
      </c>
      <c r="H120" s="14">
        <v>375174</v>
      </c>
      <c r="I120" s="14">
        <v>375174</v>
      </c>
    </row>
    <row r="121" spans="1:9" ht="14.5" customHeight="1" x14ac:dyDescent="0.35">
      <c r="A121" s="12"/>
      <c r="B121" s="82" t="s">
        <v>112</v>
      </c>
      <c r="C121" s="13"/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</row>
    <row r="122" spans="1:9" ht="14.5" customHeight="1" x14ac:dyDescent="0.35">
      <c r="A122" s="12"/>
      <c r="B122" s="82" t="s">
        <v>113</v>
      </c>
      <c r="C122" s="13"/>
      <c r="D122" s="14"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</row>
    <row r="123" spans="1:9" ht="14.5" customHeight="1" x14ac:dyDescent="0.35">
      <c r="A123" s="12"/>
      <c r="B123" s="82" t="s">
        <v>114</v>
      </c>
      <c r="C123" s="13"/>
      <c r="D123" s="14">
        <v>3288980</v>
      </c>
      <c r="E123" s="14">
        <v>5497573</v>
      </c>
      <c r="F123" s="14">
        <v>6894406</v>
      </c>
      <c r="G123" s="14">
        <v>6592087</v>
      </c>
      <c r="H123" s="14">
        <v>6948506</v>
      </c>
      <c r="I123" s="148">
        <v>28961097</v>
      </c>
    </row>
    <row r="124" spans="1:9" ht="14.5" customHeight="1" x14ac:dyDescent="0.35">
      <c r="A124" s="12"/>
      <c r="B124" s="82" t="s">
        <v>115</v>
      </c>
      <c r="C124" s="13"/>
      <c r="D124" s="14">
        <v>-7319</v>
      </c>
      <c r="E124" s="14">
        <v>-7319</v>
      </c>
      <c r="F124" s="14">
        <v>0</v>
      </c>
      <c r="G124" s="14">
        <v>0</v>
      </c>
      <c r="H124" s="14">
        <v>0</v>
      </c>
      <c r="I124" s="14">
        <v>0</v>
      </c>
    </row>
    <row r="125" spans="1:9" ht="14.5" customHeight="1" x14ac:dyDescent="0.35">
      <c r="A125" s="12"/>
      <c r="B125" s="82" t="s">
        <v>116</v>
      </c>
      <c r="C125" s="13"/>
      <c r="D125" s="14">
        <v>-112119</v>
      </c>
      <c r="E125" s="14">
        <v>-91297</v>
      </c>
      <c r="F125" s="14">
        <v>0</v>
      </c>
      <c r="G125" s="14">
        <v>0</v>
      </c>
      <c r="H125" s="14">
        <v>0</v>
      </c>
      <c r="I125" s="14">
        <v>0</v>
      </c>
    </row>
    <row r="126" spans="1:9" ht="14.5" customHeight="1" x14ac:dyDescent="0.35">
      <c r="A126" s="12"/>
      <c r="B126" s="82" t="s">
        <v>117</v>
      </c>
      <c r="C126" s="13"/>
      <c r="D126" s="14">
        <v>-1699446</v>
      </c>
      <c r="E126" s="14">
        <v>-1178416</v>
      </c>
      <c r="F126" s="14">
        <v>-1041668</v>
      </c>
      <c r="G126" s="14">
        <v>-1041668</v>
      </c>
      <c r="H126" s="14">
        <v>-4562114</v>
      </c>
      <c r="I126" s="14">
        <v>-7176797</v>
      </c>
    </row>
    <row r="127" spans="1:9" ht="14.5" customHeight="1" x14ac:dyDescent="0.35">
      <c r="A127" s="12"/>
      <c r="B127" s="82" t="s">
        <v>118</v>
      </c>
      <c r="C127" s="13"/>
      <c r="D127" s="14">
        <v>2827943</v>
      </c>
      <c r="E127" s="14">
        <v>1359617</v>
      </c>
      <c r="F127" s="14">
        <v>-8459795</v>
      </c>
      <c r="G127" s="14">
        <v>-5564514</v>
      </c>
      <c r="H127" s="14">
        <v>-2951241</v>
      </c>
      <c r="I127" s="14">
        <v>-74142364</v>
      </c>
    </row>
    <row r="128" spans="1:9" ht="14.5" customHeight="1" x14ac:dyDescent="0.35">
      <c r="A128" s="12"/>
      <c r="B128" s="82" t="s">
        <v>119</v>
      </c>
      <c r="C128" s="13"/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</row>
    <row r="129" spans="1:9" ht="14.5" customHeight="1" x14ac:dyDescent="0.35">
      <c r="A129" s="12"/>
      <c r="B129" s="82" t="s">
        <v>120</v>
      </c>
      <c r="C129" s="13"/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</row>
    <row r="130" spans="1:9" ht="14.5" customHeight="1" x14ac:dyDescent="0.35">
      <c r="A130" s="12"/>
      <c r="B130" s="82" t="s">
        <v>121</v>
      </c>
      <c r="C130" s="13"/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</row>
    <row r="131" spans="1:9" ht="14.5" customHeight="1" x14ac:dyDescent="0.35">
      <c r="A131" s="12"/>
      <c r="B131" s="82" t="s">
        <v>122</v>
      </c>
      <c r="C131" s="13"/>
      <c r="D131" s="14">
        <v>13217047</v>
      </c>
      <c r="E131" s="14">
        <v>14613736</v>
      </c>
      <c r="F131" s="14">
        <v>129905931</v>
      </c>
      <c r="G131" s="14">
        <v>134379493</v>
      </c>
      <c r="H131" s="14">
        <v>129130281</v>
      </c>
      <c r="I131" s="14">
        <v>76488648</v>
      </c>
    </row>
    <row r="132" spans="1:9" ht="14.5" customHeight="1" x14ac:dyDescent="0.35">
      <c r="A132" s="12"/>
      <c r="B132" s="82" t="s">
        <v>123</v>
      </c>
      <c r="C132" s="13"/>
      <c r="D132" s="14">
        <v>82485</v>
      </c>
      <c r="E132" s="14">
        <v>87979</v>
      </c>
      <c r="F132" s="14">
        <v>133649</v>
      </c>
      <c r="G132" s="14">
        <v>198451</v>
      </c>
      <c r="H132" s="14">
        <v>226120</v>
      </c>
      <c r="I132" s="14">
        <v>245705</v>
      </c>
    </row>
    <row r="133" spans="1:9" ht="14.5" customHeight="1" x14ac:dyDescent="0.35">
      <c r="A133" s="12"/>
      <c r="B133" s="82" t="s">
        <v>124</v>
      </c>
      <c r="C133" s="13"/>
      <c r="D133" s="16"/>
      <c r="E133" s="16"/>
      <c r="F133" s="16"/>
      <c r="G133" s="16"/>
      <c r="H133" s="16"/>
      <c r="I133" s="16"/>
    </row>
    <row r="134" spans="1:9" ht="14.5" customHeight="1" x14ac:dyDescent="0.35">
      <c r="A134" s="12"/>
      <c r="B134" s="82" t="s">
        <v>125</v>
      </c>
      <c r="C134" s="13"/>
      <c r="D134" s="14">
        <v>45495</v>
      </c>
      <c r="E134" s="14">
        <v>45669</v>
      </c>
      <c r="F134" s="14">
        <v>64802</v>
      </c>
      <c r="G134" s="14">
        <v>27669</v>
      </c>
      <c r="H134" s="14">
        <v>19584</v>
      </c>
      <c r="I134" s="14">
        <v>8053</v>
      </c>
    </row>
    <row r="135" spans="1:9" ht="14.5" customHeight="1" x14ac:dyDescent="0.35">
      <c r="A135" s="12"/>
      <c r="B135" s="82" t="s">
        <v>126</v>
      </c>
      <c r="C135" s="13"/>
      <c r="D135" s="14">
        <v>127980</v>
      </c>
      <c r="E135" s="14">
        <v>133648</v>
      </c>
      <c r="F135" s="14">
        <v>198451</v>
      </c>
      <c r="G135" s="14">
        <v>226120</v>
      </c>
      <c r="H135" s="14">
        <v>245704</v>
      </c>
      <c r="I135" s="14">
        <v>253758</v>
      </c>
    </row>
    <row r="136" spans="1:9" ht="14.5" customHeight="1" x14ac:dyDescent="0.35">
      <c r="A136" s="12"/>
      <c r="B136" s="15"/>
      <c r="C136" s="15"/>
      <c r="D136" s="15"/>
      <c r="E136" s="15"/>
      <c r="F136" s="15"/>
      <c r="G136" s="15"/>
      <c r="H136" s="15"/>
      <c r="I136" s="15"/>
    </row>
    <row r="137" spans="1:9" ht="14.5" customHeight="1" x14ac:dyDescent="0.35">
      <c r="A137" s="12"/>
      <c r="B137" s="82" t="s">
        <v>127</v>
      </c>
      <c r="C137" s="13"/>
      <c r="D137" s="14">
        <v>478866</v>
      </c>
      <c r="E137" s="14">
        <v>955492</v>
      </c>
      <c r="F137" s="14">
        <v>157926</v>
      </c>
      <c r="G137" s="14">
        <v>1032128</v>
      </c>
      <c r="H137" s="14">
        <v>5789869</v>
      </c>
      <c r="I137" s="14">
        <v>5714925</v>
      </c>
    </row>
    <row r="138" spans="1:9" ht="14.5" customHeight="1" x14ac:dyDescent="0.35">
      <c r="A138" s="12"/>
      <c r="B138" s="82" t="s">
        <v>128</v>
      </c>
      <c r="C138" s="13"/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</row>
    <row r="139" spans="1:9" ht="14.5" customHeight="1" x14ac:dyDescent="0.35">
      <c r="A139" s="12"/>
      <c r="B139" s="82" t="s">
        <v>129</v>
      </c>
      <c r="C139" s="13"/>
      <c r="D139" s="14">
        <v>69064</v>
      </c>
      <c r="E139" s="14">
        <v>308234</v>
      </c>
      <c r="F139" s="14">
        <v>14301</v>
      </c>
      <c r="G139" s="14">
        <v>997114</v>
      </c>
      <c r="H139" s="14">
        <v>5756309</v>
      </c>
      <c r="I139" s="14">
        <v>5680925</v>
      </c>
    </row>
    <row r="140" spans="1:9" ht="14.5" customHeight="1" x14ac:dyDescent="0.35">
      <c r="A140" s="12"/>
      <c r="B140" s="82" t="s">
        <v>130</v>
      </c>
      <c r="C140" s="13"/>
      <c r="D140" s="14">
        <v>262277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</row>
    <row r="141" spans="1:9" ht="14.5" customHeight="1" x14ac:dyDescent="0.35">
      <c r="A141" s="12"/>
      <c r="B141" s="82" t="s">
        <v>131</v>
      </c>
      <c r="C141" s="13"/>
      <c r="D141" s="14">
        <v>0</v>
      </c>
      <c r="E141" s="14">
        <v>523557</v>
      </c>
      <c r="F141" s="14">
        <v>143625</v>
      </c>
      <c r="G141" s="14">
        <v>35014</v>
      </c>
      <c r="H141" s="14">
        <v>33560</v>
      </c>
      <c r="I141" s="14">
        <v>34000</v>
      </c>
    </row>
    <row r="142" spans="1:9" ht="14.5" customHeight="1" x14ac:dyDescent="0.35">
      <c r="A142" s="12"/>
      <c r="B142" s="82" t="s">
        <v>132</v>
      </c>
      <c r="C142" s="13"/>
      <c r="D142" s="14">
        <v>147525</v>
      </c>
      <c r="E142" s="14">
        <v>123701</v>
      </c>
      <c r="F142" s="14">
        <v>0</v>
      </c>
      <c r="G142" s="14">
        <v>0</v>
      </c>
      <c r="H142" s="14">
        <v>0</v>
      </c>
      <c r="I142" s="14">
        <v>0</v>
      </c>
    </row>
    <row r="143" spans="1:9" ht="14.5" customHeight="1" x14ac:dyDescent="0.35">
      <c r="A143" s="12"/>
      <c r="B143" s="15"/>
      <c r="C143" s="15"/>
      <c r="D143" s="15"/>
      <c r="E143" s="15"/>
      <c r="F143" s="15"/>
      <c r="G143" s="15"/>
      <c r="H143" s="15"/>
      <c r="I143" s="15"/>
    </row>
    <row r="144" spans="1:9" ht="14.5" customHeight="1" x14ac:dyDescent="0.35">
      <c r="A144" s="12"/>
      <c r="B144" s="82" t="s">
        <v>133</v>
      </c>
      <c r="C144" s="13"/>
      <c r="D144" s="14">
        <v>1569430</v>
      </c>
      <c r="E144" s="14">
        <v>1582895</v>
      </c>
      <c r="F144" s="14">
        <v>1933989</v>
      </c>
      <c r="G144" s="14">
        <v>1733964</v>
      </c>
      <c r="H144" s="14">
        <v>1974739</v>
      </c>
      <c r="I144" s="14">
        <v>2944510</v>
      </c>
    </row>
    <row r="145" spans="1:9" ht="14.5" customHeight="1" x14ac:dyDescent="0.35">
      <c r="A145" s="12"/>
      <c r="B145" s="15"/>
      <c r="C145" s="15"/>
      <c r="D145" s="15"/>
      <c r="E145" s="15"/>
      <c r="F145" s="15"/>
      <c r="G145" s="15"/>
      <c r="H145" s="15"/>
      <c r="I145" s="15"/>
    </row>
    <row r="146" spans="1:9" ht="14.5" customHeight="1" x14ac:dyDescent="0.35">
      <c r="A146" s="20"/>
      <c r="B146" s="85" t="s">
        <v>134</v>
      </c>
      <c r="C146" s="21"/>
      <c r="D146" s="22"/>
      <c r="E146" s="22"/>
      <c r="F146" s="22"/>
      <c r="G146" s="22"/>
      <c r="H146" s="22"/>
      <c r="I146" s="22"/>
    </row>
    <row r="147" spans="1:9" ht="14.5" customHeight="1" x14ac:dyDescent="0.35">
      <c r="A147" s="12"/>
      <c r="B147" s="15"/>
      <c r="C147" s="15"/>
      <c r="D147" s="15"/>
      <c r="E147" s="15"/>
      <c r="F147" s="15"/>
      <c r="G147" s="15"/>
      <c r="H147" s="15"/>
      <c r="I147" s="15"/>
    </row>
    <row r="148" spans="1:9" ht="14.5" customHeight="1" x14ac:dyDescent="0.35">
      <c r="A148" s="12"/>
      <c r="B148" s="82" t="s">
        <v>135</v>
      </c>
      <c r="C148" s="13"/>
      <c r="D148" s="14">
        <v>67621388</v>
      </c>
      <c r="E148" s="14">
        <v>72585023</v>
      </c>
      <c r="F148" s="14">
        <v>120039763</v>
      </c>
      <c r="G148" s="14">
        <v>133602492</v>
      </c>
      <c r="H148" s="14">
        <v>154960220</v>
      </c>
      <c r="I148" s="14">
        <v>177731444</v>
      </c>
    </row>
    <row r="149" spans="1:9" ht="14.5" customHeight="1" x14ac:dyDescent="0.35">
      <c r="A149" s="12"/>
      <c r="B149" s="82" t="s">
        <v>136</v>
      </c>
      <c r="C149" s="13"/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</row>
    <row r="150" spans="1:9" ht="14.5" customHeight="1" x14ac:dyDescent="0.35">
      <c r="A150" s="12"/>
      <c r="B150" s="82" t="s">
        <v>137</v>
      </c>
      <c r="C150" s="13"/>
      <c r="D150" s="14">
        <v>0</v>
      </c>
      <c r="E150" s="14">
        <v>0</v>
      </c>
      <c r="F150" s="14">
        <v>0</v>
      </c>
      <c r="G150" s="14">
        <v>0</v>
      </c>
      <c r="H150" s="14">
        <v>0</v>
      </c>
      <c r="I150" s="14">
        <v>0</v>
      </c>
    </row>
    <row r="151" spans="1:9" ht="14.5" customHeight="1" x14ac:dyDescent="0.35">
      <c r="A151" s="12"/>
      <c r="B151" s="82" t="s">
        <v>138</v>
      </c>
      <c r="C151" s="13"/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</row>
    <row r="152" spans="1:9" ht="14.5" customHeight="1" x14ac:dyDescent="0.35">
      <c r="A152" s="12"/>
      <c r="B152" s="82" t="s">
        <v>139</v>
      </c>
      <c r="C152" s="13"/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</row>
    <row r="153" spans="1:9" s="32" customFormat="1" ht="14.5" customHeight="1" x14ac:dyDescent="0.35">
      <c r="A153" s="29"/>
      <c r="B153" s="84" t="s">
        <v>140</v>
      </c>
      <c r="C153" s="30"/>
      <c r="D153" s="31">
        <v>0</v>
      </c>
      <c r="E153" s="31">
        <v>0</v>
      </c>
      <c r="F153" s="31">
        <v>0</v>
      </c>
      <c r="G153" s="31">
        <v>0</v>
      </c>
      <c r="H153" s="31">
        <v>0</v>
      </c>
      <c r="I153" s="148">
        <v>5270027</v>
      </c>
    </row>
    <row r="154" spans="1:9" s="32" customFormat="1" ht="14.5" customHeight="1" x14ac:dyDescent="0.35">
      <c r="A154" s="29"/>
      <c r="B154" s="84" t="s">
        <v>141</v>
      </c>
      <c r="C154" s="30"/>
      <c r="D154" s="31">
        <v>0</v>
      </c>
      <c r="E154" s="31">
        <v>0</v>
      </c>
      <c r="F154" s="31">
        <v>0</v>
      </c>
      <c r="G154" s="31">
        <v>0</v>
      </c>
      <c r="H154" s="31">
        <v>0</v>
      </c>
      <c r="I154" s="31">
        <v>0</v>
      </c>
    </row>
    <row r="155" spans="1:9" ht="14.5" customHeight="1" x14ac:dyDescent="0.35">
      <c r="A155" s="12"/>
      <c r="B155" s="82" t="s">
        <v>142</v>
      </c>
      <c r="C155" s="13"/>
      <c r="D155" s="14">
        <v>16699503</v>
      </c>
      <c r="E155" s="14">
        <v>40150447</v>
      </c>
      <c r="F155" s="14">
        <v>77724102</v>
      </c>
      <c r="G155" s="14">
        <v>6105983</v>
      </c>
      <c r="H155" s="14">
        <v>9794032</v>
      </c>
      <c r="I155" s="14">
        <v>9828633</v>
      </c>
    </row>
    <row r="156" spans="1:9" ht="14.5" customHeight="1" x14ac:dyDescent="0.35">
      <c r="A156" s="12"/>
      <c r="B156" s="82" t="s">
        <v>143</v>
      </c>
      <c r="C156" s="13"/>
      <c r="D156" s="14">
        <v>21126262</v>
      </c>
      <c r="E156" s="14">
        <v>0</v>
      </c>
      <c r="F156" s="14">
        <v>7829499</v>
      </c>
      <c r="G156" s="14">
        <v>97128565</v>
      </c>
      <c r="H156" s="14">
        <v>101949837</v>
      </c>
      <c r="I156" s="14">
        <v>105230475</v>
      </c>
    </row>
    <row r="157" spans="1:9" ht="14.5" customHeight="1" x14ac:dyDescent="0.35">
      <c r="A157" s="12"/>
      <c r="B157" s="82" t="s">
        <v>144</v>
      </c>
      <c r="C157" s="13"/>
      <c r="D157" s="14">
        <v>86466</v>
      </c>
      <c r="E157" s="14">
        <v>4018351</v>
      </c>
      <c r="F157" s="14">
        <v>484334</v>
      </c>
      <c r="G157" s="14">
        <v>230793</v>
      </c>
      <c r="H157" s="14">
        <v>132482</v>
      </c>
      <c r="I157" s="14">
        <v>2310186</v>
      </c>
    </row>
    <row r="158" spans="1:9" ht="14.5" customHeight="1" x14ac:dyDescent="0.35">
      <c r="A158" s="12"/>
      <c r="B158" s="82" t="s">
        <v>145</v>
      </c>
      <c r="C158" s="13"/>
      <c r="D158" s="14">
        <v>2894073</v>
      </c>
      <c r="E158" s="14">
        <v>518517</v>
      </c>
      <c r="F158" s="14">
        <v>364818</v>
      </c>
      <c r="G158" s="14">
        <v>226025</v>
      </c>
      <c r="H158" s="14">
        <v>0</v>
      </c>
      <c r="I158" s="14">
        <v>0</v>
      </c>
    </row>
    <row r="159" spans="1:9" ht="14.5" customHeight="1" x14ac:dyDescent="0.35">
      <c r="A159" s="12"/>
      <c r="B159" s="82" t="s">
        <v>146</v>
      </c>
      <c r="C159" s="13"/>
      <c r="D159" s="14">
        <v>34714</v>
      </c>
      <c r="E159" s="14">
        <v>65564</v>
      </c>
      <c r="F159" s="14">
        <v>54522</v>
      </c>
      <c r="G159" s="14">
        <v>99947</v>
      </c>
      <c r="H159" s="14">
        <v>50491</v>
      </c>
      <c r="I159" s="14">
        <v>736003</v>
      </c>
    </row>
    <row r="160" spans="1:9" ht="14.5" customHeight="1" x14ac:dyDescent="0.35">
      <c r="A160" s="12"/>
      <c r="B160" s="82" t="s">
        <v>147</v>
      </c>
      <c r="C160" s="13"/>
      <c r="D160" s="14">
        <v>0</v>
      </c>
      <c r="E160" s="14">
        <v>0</v>
      </c>
      <c r="F160" s="14">
        <v>0</v>
      </c>
      <c r="G160" s="14">
        <v>0</v>
      </c>
      <c r="H160" s="14">
        <v>0</v>
      </c>
      <c r="I160" s="14">
        <v>0</v>
      </c>
    </row>
    <row r="161" spans="1:9" ht="14.5" customHeight="1" x14ac:dyDescent="0.35">
      <c r="A161" s="12"/>
      <c r="B161" s="82" t="s">
        <v>148</v>
      </c>
      <c r="C161" s="13"/>
      <c r="D161" s="14">
        <v>21119042</v>
      </c>
      <c r="E161" s="14">
        <v>22473284</v>
      </c>
      <c r="F161" s="14">
        <v>27179653</v>
      </c>
      <c r="G161" s="14">
        <v>24543584</v>
      </c>
      <c r="H161" s="14">
        <v>36408420</v>
      </c>
      <c r="I161" s="14">
        <v>39409360</v>
      </c>
    </row>
    <row r="162" spans="1:9" ht="14.5" customHeight="1" x14ac:dyDescent="0.35">
      <c r="A162" s="12"/>
      <c r="B162" s="82" t="s">
        <v>149</v>
      </c>
      <c r="C162" s="13"/>
      <c r="D162" s="14">
        <v>0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</row>
    <row r="163" spans="1:9" ht="14.5" customHeight="1" x14ac:dyDescent="0.35">
      <c r="A163" s="12"/>
      <c r="B163" s="82" t="s">
        <v>150</v>
      </c>
      <c r="C163" s="13"/>
      <c r="D163" s="14">
        <v>0</v>
      </c>
      <c r="E163" s="14">
        <v>0</v>
      </c>
      <c r="F163" s="14">
        <v>0</v>
      </c>
      <c r="G163" s="14">
        <v>0</v>
      </c>
      <c r="H163" s="14">
        <v>0</v>
      </c>
      <c r="I163" s="14">
        <v>0</v>
      </c>
    </row>
    <row r="164" spans="1:9" ht="14.5" customHeight="1" x14ac:dyDescent="0.35">
      <c r="A164" s="12"/>
      <c r="B164" s="82" t="s">
        <v>151</v>
      </c>
      <c r="C164" s="13"/>
      <c r="D164" s="14">
        <v>0</v>
      </c>
      <c r="E164" s="14">
        <v>0</v>
      </c>
      <c r="F164" s="14">
        <v>0</v>
      </c>
      <c r="G164" s="14">
        <v>0</v>
      </c>
      <c r="H164" s="14">
        <v>0</v>
      </c>
      <c r="I164" s="14">
        <v>0</v>
      </c>
    </row>
    <row r="165" spans="1:9" ht="14.5" customHeight="1" x14ac:dyDescent="0.35">
      <c r="A165" s="12"/>
      <c r="B165" s="82" t="s">
        <v>152</v>
      </c>
      <c r="C165" s="13"/>
      <c r="D165" s="14">
        <v>0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</row>
    <row r="166" spans="1:9" ht="14.5" customHeight="1" x14ac:dyDescent="0.35">
      <c r="A166" s="12"/>
      <c r="B166" s="82" t="s">
        <v>153</v>
      </c>
      <c r="C166" s="13"/>
      <c r="D166" s="14">
        <v>0</v>
      </c>
      <c r="E166" s="14">
        <v>0</v>
      </c>
      <c r="F166" s="14">
        <v>0</v>
      </c>
      <c r="G166" s="14">
        <v>0</v>
      </c>
      <c r="H166" s="14">
        <v>0</v>
      </c>
      <c r="I166" s="14">
        <v>0</v>
      </c>
    </row>
    <row r="167" spans="1:9" ht="14.5" customHeight="1" x14ac:dyDescent="0.35">
      <c r="A167" s="12"/>
      <c r="B167" s="82" t="s">
        <v>154</v>
      </c>
      <c r="C167" s="13"/>
      <c r="D167" s="14">
        <v>0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</row>
    <row r="168" spans="1:9" ht="14.5" customHeight="1" x14ac:dyDescent="0.35">
      <c r="A168" s="12"/>
      <c r="B168" s="82" t="s">
        <v>155</v>
      </c>
      <c r="C168" s="13"/>
      <c r="D168" s="14">
        <v>0</v>
      </c>
      <c r="E168" s="14">
        <v>0</v>
      </c>
      <c r="F168" s="14">
        <v>0</v>
      </c>
      <c r="G168" s="14">
        <v>0</v>
      </c>
      <c r="H168" s="14">
        <v>0</v>
      </c>
      <c r="I168" s="14">
        <v>0</v>
      </c>
    </row>
    <row r="169" spans="1:9" ht="14.5" customHeight="1" x14ac:dyDescent="0.35">
      <c r="A169" s="12"/>
      <c r="B169" s="82" t="s">
        <v>156</v>
      </c>
      <c r="C169" s="13"/>
      <c r="D169" s="14">
        <v>0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</row>
    <row r="170" spans="1:9" ht="14.5" customHeight="1" x14ac:dyDescent="0.35">
      <c r="A170" s="12"/>
      <c r="B170" s="82" t="s">
        <v>157</v>
      </c>
      <c r="C170" s="13"/>
      <c r="D170" s="14">
        <v>0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</row>
    <row r="171" spans="1:9" ht="14.5" customHeight="1" x14ac:dyDescent="0.35">
      <c r="A171" s="12"/>
      <c r="B171" s="82" t="s">
        <v>158</v>
      </c>
      <c r="C171" s="13"/>
      <c r="D171" s="14">
        <v>0</v>
      </c>
      <c r="E171" s="14">
        <v>0</v>
      </c>
      <c r="F171" s="14">
        <v>0</v>
      </c>
      <c r="G171" s="14">
        <v>0</v>
      </c>
      <c r="H171" s="14">
        <v>0</v>
      </c>
      <c r="I171" s="14">
        <v>0</v>
      </c>
    </row>
    <row r="172" spans="1:9" ht="14.5" customHeight="1" x14ac:dyDescent="0.35">
      <c r="A172" s="12"/>
      <c r="B172" s="82" t="s">
        <v>159</v>
      </c>
      <c r="C172" s="13"/>
      <c r="D172" s="14">
        <v>0</v>
      </c>
      <c r="E172" s="14">
        <v>0</v>
      </c>
      <c r="F172" s="14">
        <v>0</v>
      </c>
      <c r="G172" s="14">
        <v>0</v>
      </c>
      <c r="H172" s="14">
        <v>0</v>
      </c>
      <c r="I172" s="14">
        <v>0</v>
      </c>
    </row>
    <row r="173" spans="1:9" ht="14.5" customHeight="1" x14ac:dyDescent="0.35">
      <c r="A173" s="12"/>
      <c r="B173" s="82" t="s">
        <v>160</v>
      </c>
      <c r="C173" s="13"/>
      <c r="D173" s="14">
        <v>1930383</v>
      </c>
      <c r="E173" s="14">
        <v>1094067</v>
      </c>
      <c r="F173" s="14">
        <v>1514628</v>
      </c>
      <c r="G173" s="14">
        <v>1485054</v>
      </c>
      <c r="H173" s="14">
        <v>2245898</v>
      </c>
      <c r="I173" s="14">
        <v>2443069</v>
      </c>
    </row>
    <row r="174" spans="1:9" ht="14.5" customHeight="1" x14ac:dyDescent="0.35">
      <c r="A174" s="12"/>
      <c r="B174" s="82" t="s">
        <v>161</v>
      </c>
      <c r="C174" s="13"/>
      <c r="D174" s="14">
        <v>0</v>
      </c>
      <c r="E174" s="14">
        <v>0</v>
      </c>
      <c r="F174" s="14">
        <v>0</v>
      </c>
      <c r="G174" s="14">
        <v>106730</v>
      </c>
      <c r="H174" s="14">
        <v>0</v>
      </c>
      <c r="I174" s="14">
        <v>78647</v>
      </c>
    </row>
    <row r="175" spans="1:9" ht="14.5" customHeight="1" x14ac:dyDescent="0.35">
      <c r="A175" s="12"/>
      <c r="B175" s="82" t="s">
        <v>162</v>
      </c>
      <c r="C175" s="13"/>
      <c r="D175" s="14">
        <v>532568</v>
      </c>
      <c r="E175" s="14">
        <v>664101</v>
      </c>
      <c r="F175" s="14">
        <v>1068336</v>
      </c>
      <c r="G175" s="14">
        <v>839225</v>
      </c>
      <c r="H175" s="14">
        <v>1354031</v>
      </c>
      <c r="I175" s="14">
        <v>1442426</v>
      </c>
    </row>
    <row r="176" spans="1:9" ht="14.5" customHeight="1" x14ac:dyDescent="0.35">
      <c r="A176" s="12"/>
      <c r="B176" s="82" t="s">
        <v>163</v>
      </c>
      <c r="C176" s="13"/>
      <c r="D176" s="14">
        <v>0</v>
      </c>
      <c r="E176" s="14">
        <v>0</v>
      </c>
      <c r="F176" s="14">
        <v>0</v>
      </c>
      <c r="G176" s="14">
        <v>0</v>
      </c>
      <c r="H176" s="14">
        <v>0</v>
      </c>
      <c r="I176" s="14">
        <v>40946</v>
      </c>
    </row>
    <row r="177" spans="1:9" ht="14.5" customHeight="1" x14ac:dyDescent="0.35">
      <c r="A177" s="12"/>
      <c r="B177" s="82" t="s">
        <v>164</v>
      </c>
      <c r="C177" s="13"/>
      <c r="D177" s="14">
        <v>2445516</v>
      </c>
      <c r="E177" s="14">
        <v>2597525</v>
      </c>
      <c r="F177" s="14">
        <v>3806704</v>
      </c>
      <c r="G177" s="14">
        <v>2823419</v>
      </c>
      <c r="H177" s="14">
        <v>3011862</v>
      </c>
      <c r="I177" s="14">
        <v>10741672</v>
      </c>
    </row>
    <row r="178" spans="1:9" ht="14.5" customHeight="1" x14ac:dyDescent="0.35">
      <c r="A178" s="12"/>
      <c r="B178" s="82" t="s">
        <v>165</v>
      </c>
      <c r="C178" s="13"/>
      <c r="D178" s="14">
        <v>752861</v>
      </c>
      <c r="E178" s="14">
        <v>1003167</v>
      </c>
      <c r="F178" s="14">
        <v>13167</v>
      </c>
      <c r="G178" s="14">
        <v>13167</v>
      </c>
      <c r="H178" s="14">
        <v>13167</v>
      </c>
      <c r="I178" s="14">
        <v>200000</v>
      </c>
    </row>
    <row r="179" spans="1:9" ht="14.5" customHeight="1" x14ac:dyDescent="0.35">
      <c r="A179" s="12"/>
      <c r="B179" s="82" t="s">
        <v>166</v>
      </c>
      <c r="C179" s="13"/>
      <c r="D179" s="14">
        <v>42848192</v>
      </c>
      <c r="E179" s="14">
        <v>71063339</v>
      </c>
      <c r="F179" s="14">
        <v>111832279</v>
      </c>
      <c r="G179" s="14">
        <v>36128005</v>
      </c>
      <c r="H179" s="14">
        <v>52997216</v>
      </c>
      <c r="I179" s="14">
        <v>72181376</v>
      </c>
    </row>
    <row r="180" spans="1:9" ht="14.5" customHeight="1" x14ac:dyDescent="0.35">
      <c r="A180" s="12"/>
      <c r="B180" s="82" t="s">
        <v>167</v>
      </c>
      <c r="C180" s="13"/>
      <c r="D180" s="14">
        <v>24773196</v>
      </c>
      <c r="E180" s="14">
        <v>1521684</v>
      </c>
      <c r="F180" s="14">
        <v>8207484</v>
      </c>
      <c r="G180" s="14">
        <v>97474487</v>
      </c>
      <c r="H180" s="14">
        <v>101963004</v>
      </c>
      <c r="I180" s="14">
        <v>105550068</v>
      </c>
    </row>
    <row r="181" spans="1:9" ht="14.5" customHeight="1" x14ac:dyDescent="0.35">
      <c r="A181" s="12"/>
      <c r="B181" s="15"/>
      <c r="C181" s="15"/>
      <c r="D181" s="15"/>
      <c r="E181" s="15"/>
      <c r="F181" s="15"/>
      <c r="G181" s="15"/>
      <c r="H181" s="15"/>
      <c r="I181" s="15"/>
    </row>
    <row r="182" spans="1:9" ht="14.5" customHeight="1" x14ac:dyDescent="0.35">
      <c r="A182" s="12"/>
      <c r="B182" s="82" t="s">
        <v>168</v>
      </c>
      <c r="C182" s="13"/>
      <c r="D182" s="14">
        <v>42848192</v>
      </c>
      <c r="E182" s="14">
        <v>71063339</v>
      </c>
      <c r="F182" s="14">
        <v>111832279</v>
      </c>
      <c r="G182" s="14">
        <v>36128005</v>
      </c>
      <c r="H182" s="14">
        <v>52997216</v>
      </c>
      <c r="I182" s="14">
        <v>72181376</v>
      </c>
    </row>
    <row r="183" spans="1:9" ht="14.5" customHeight="1" x14ac:dyDescent="0.35">
      <c r="A183" s="12"/>
      <c r="B183" s="82" t="s">
        <v>169</v>
      </c>
      <c r="C183" s="13"/>
      <c r="D183" s="14">
        <v>24773196</v>
      </c>
      <c r="E183" s="14">
        <v>1521684</v>
      </c>
      <c r="F183" s="14">
        <v>8207484</v>
      </c>
      <c r="G183" s="14">
        <v>97474487</v>
      </c>
      <c r="H183" s="14">
        <v>101963004</v>
      </c>
      <c r="I183" s="14">
        <v>105550068</v>
      </c>
    </row>
    <row r="184" spans="1:9" ht="14.5" customHeight="1" x14ac:dyDescent="0.35">
      <c r="A184" s="12"/>
      <c r="B184" s="15"/>
      <c r="C184" s="15"/>
      <c r="D184" s="15"/>
      <c r="E184" s="15"/>
      <c r="F184" s="15"/>
      <c r="G184" s="15"/>
      <c r="H184" s="15"/>
      <c r="I184" s="15"/>
    </row>
    <row r="185" spans="1:9" ht="14.5" customHeight="1" x14ac:dyDescent="0.35">
      <c r="A185" s="12"/>
      <c r="B185" s="82" t="s">
        <v>170</v>
      </c>
      <c r="C185" s="13"/>
      <c r="D185" s="14">
        <v>929573</v>
      </c>
      <c r="E185" s="14">
        <v>834823</v>
      </c>
      <c r="F185" s="14">
        <v>372958</v>
      </c>
      <c r="G185" s="14">
        <v>1031081</v>
      </c>
      <c r="H185" s="14">
        <v>1840462</v>
      </c>
      <c r="I185" s="14">
        <v>554320</v>
      </c>
    </row>
    <row r="186" spans="1:9" ht="14.5" customHeight="1" x14ac:dyDescent="0.35">
      <c r="A186" s="12"/>
      <c r="B186" s="82" t="s">
        <v>171</v>
      </c>
      <c r="C186" s="13"/>
      <c r="D186" s="16"/>
      <c r="E186" s="16"/>
      <c r="F186" s="16"/>
      <c r="G186" s="16"/>
      <c r="H186" s="16"/>
      <c r="I186" s="16"/>
    </row>
    <row r="187" spans="1:9" ht="14.5" customHeight="1" x14ac:dyDescent="0.35">
      <c r="A187" s="12"/>
      <c r="B187" s="15"/>
      <c r="C187" s="15"/>
      <c r="D187" s="15"/>
      <c r="E187" s="15"/>
      <c r="F187" s="15"/>
      <c r="G187" s="15"/>
      <c r="H187" s="15"/>
      <c r="I187" s="15"/>
    </row>
    <row r="188" spans="1:9" ht="14.5" customHeight="1" x14ac:dyDescent="0.35">
      <c r="A188" s="12"/>
      <c r="B188" s="82" t="s">
        <v>172</v>
      </c>
      <c r="C188" s="13"/>
      <c r="D188" s="14">
        <v>83944284</v>
      </c>
      <c r="E188" s="14">
        <v>90705617</v>
      </c>
      <c r="F188" s="14">
        <v>252609018</v>
      </c>
      <c r="G188" s="14">
        <v>272005278</v>
      </c>
      <c r="H188" s="14">
        <v>293941275</v>
      </c>
      <c r="I188" s="14">
        <v>263687605</v>
      </c>
    </row>
    <row r="189" spans="1:9" ht="14.5" customHeight="1" x14ac:dyDescent="0.35">
      <c r="A189" s="12"/>
      <c r="B189" s="15"/>
      <c r="C189" s="15"/>
      <c r="D189" s="15"/>
      <c r="E189" s="15"/>
      <c r="F189" s="15"/>
      <c r="G189" s="15"/>
      <c r="H189" s="15"/>
      <c r="I189" s="15"/>
    </row>
    <row r="190" spans="1:9" ht="14.5" customHeight="1" x14ac:dyDescent="0.35">
      <c r="A190" s="12"/>
      <c r="B190" s="82" t="s">
        <v>173</v>
      </c>
      <c r="C190" s="13"/>
      <c r="D190" s="14">
        <v>0</v>
      </c>
      <c r="E190" s="14">
        <v>0</v>
      </c>
      <c r="F190" s="14">
        <v>0</v>
      </c>
      <c r="G190" s="14">
        <v>0</v>
      </c>
      <c r="H190" s="14">
        <v>0</v>
      </c>
      <c r="I190" s="14">
        <v>0</v>
      </c>
    </row>
    <row r="191" spans="1:9" ht="14.5" customHeight="1" x14ac:dyDescent="0.35">
      <c r="A191" s="12"/>
      <c r="B191" s="82" t="s">
        <v>174</v>
      </c>
      <c r="C191" s="13"/>
      <c r="D191" s="14">
        <v>0</v>
      </c>
      <c r="E191" s="14">
        <v>0</v>
      </c>
      <c r="F191" s="14">
        <v>0</v>
      </c>
      <c r="G191" s="14">
        <v>0</v>
      </c>
      <c r="H191" s="14">
        <v>0</v>
      </c>
      <c r="I191" s="14">
        <v>0</v>
      </c>
    </row>
    <row r="192" spans="1:9" ht="14.5" customHeight="1" x14ac:dyDescent="0.35">
      <c r="A192" s="12"/>
      <c r="B192" s="15"/>
      <c r="C192" s="15"/>
      <c r="D192" s="15"/>
      <c r="E192" s="15"/>
      <c r="F192" s="15"/>
      <c r="G192" s="15"/>
      <c r="H192" s="15"/>
      <c r="I192" s="15"/>
    </row>
    <row r="193" spans="1:9" ht="14.5" customHeight="1" x14ac:dyDescent="0.35">
      <c r="A193" s="2"/>
    </row>
    <row r="194" spans="1:9" ht="14.5" customHeight="1" x14ac:dyDescent="0.35">
      <c r="A194" s="25" t="s">
        <v>175</v>
      </c>
      <c r="B194" s="78"/>
    </row>
    <row r="195" spans="1:9" ht="14.5" customHeight="1" x14ac:dyDescent="0.35">
      <c r="A195" s="2"/>
    </row>
    <row r="196" spans="1:9" ht="34" customHeight="1" x14ac:dyDescent="0.35">
      <c r="A196" s="3"/>
      <c r="B196" s="86" t="s">
        <v>1</v>
      </c>
      <c r="C196" s="4"/>
      <c r="D196" s="5" t="s">
        <v>7</v>
      </c>
      <c r="E196" s="5" t="s">
        <v>6</v>
      </c>
      <c r="F196" s="5" t="s">
        <v>5</v>
      </c>
      <c r="G196" s="5" t="s">
        <v>4</v>
      </c>
      <c r="H196" s="5" t="s">
        <v>3</v>
      </c>
      <c r="I196" s="5" t="s">
        <v>2</v>
      </c>
    </row>
    <row r="197" spans="1:9" ht="34" customHeight="1" x14ac:dyDescent="0.35">
      <c r="A197" s="6"/>
      <c r="B197" s="7"/>
      <c r="C197" s="7"/>
      <c r="D197" s="8" t="s">
        <v>8</v>
      </c>
      <c r="E197" s="8" t="s">
        <v>8</v>
      </c>
      <c r="F197" s="8" t="s">
        <v>8</v>
      </c>
      <c r="G197" s="8" t="s">
        <v>8</v>
      </c>
      <c r="H197" s="8" t="s">
        <v>8</v>
      </c>
      <c r="I197" s="8" t="s">
        <v>8</v>
      </c>
    </row>
    <row r="198" spans="1:9" ht="14.5" customHeight="1" x14ac:dyDescent="0.35">
      <c r="A198" s="12"/>
      <c r="B198" s="82" t="s">
        <v>176</v>
      </c>
      <c r="C198" s="13"/>
      <c r="D198" s="14">
        <v>104577501</v>
      </c>
      <c r="E198" s="14">
        <v>110375390</v>
      </c>
      <c r="F198" s="14">
        <v>124772062</v>
      </c>
      <c r="G198" s="14">
        <v>107697933</v>
      </c>
      <c r="H198" s="14">
        <v>132597187</v>
      </c>
      <c r="I198" s="14">
        <v>167619757</v>
      </c>
    </row>
    <row r="199" spans="1:9" ht="14.5" customHeight="1" x14ac:dyDescent="0.35">
      <c r="A199" s="12"/>
      <c r="B199" s="82" t="s">
        <v>177</v>
      </c>
      <c r="C199" s="13"/>
      <c r="D199" s="14">
        <v>100570940</v>
      </c>
      <c r="E199" s="14">
        <v>108810865</v>
      </c>
      <c r="F199" s="14">
        <v>121969342</v>
      </c>
      <c r="G199" s="14">
        <v>102531021</v>
      </c>
      <c r="H199" s="14">
        <v>124963616</v>
      </c>
      <c r="I199" s="14">
        <v>166255615</v>
      </c>
    </row>
    <row r="200" spans="1:9" ht="14.5" customHeight="1" x14ac:dyDescent="0.35">
      <c r="A200" s="12"/>
      <c r="B200" s="82" t="s">
        <v>178</v>
      </c>
      <c r="C200" s="13"/>
      <c r="D200" s="14">
        <v>2028267</v>
      </c>
      <c r="E200" s="14">
        <v>25271</v>
      </c>
      <c r="F200" s="14">
        <v>697922</v>
      </c>
      <c r="G200" s="14">
        <v>888687</v>
      </c>
      <c r="H200" s="14">
        <v>1665342</v>
      </c>
      <c r="I200" s="14">
        <v>-1872189</v>
      </c>
    </row>
    <row r="201" spans="1:9" ht="14.5" customHeight="1" x14ac:dyDescent="0.35">
      <c r="A201" s="12"/>
      <c r="B201" s="82" t="s">
        <v>179</v>
      </c>
      <c r="C201" s="13"/>
      <c r="D201" s="14">
        <v>0</v>
      </c>
      <c r="E201" s="14">
        <v>0</v>
      </c>
      <c r="F201" s="14">
        <v>0</v>
      </c>
      <c r="G201" s="14">
        <v>0</v>
      </c>
      <c r="H201" s="14">
        <v>879165</v>
      </c>
      <c r="I201" s="14">
        <v>0</v>
      </c>
    </row>
    <row r="202" spans="1:9" ht="14.5" customHeight="1" x14ac:dyDescent="0.35">
      <c r="A202" s="12"/>
      <c r="B202" s="82" t="s">
        <v>180</v>
      </c>
      <c r="C202" s="13"/>
      <c r="D202" s="16"/>
      <c r="E202" s="16"/>
      <c r="F202" s="16"/>
      <c r="G202" s="16"/>
      <c r="H202" s="16"/>
      <c r="I202" s="16"/>
    </row>
    <row r="203" spans="1:9" ht="14.5" customHeight="1" x14ac:dyDescent="0.35">
      <c r="A203" s="12"/>
      <c r="B203" s="82" t="s">
        <v>181</v>
      </c>
      <c r="C203" s="13"/>
      <c r="D203" s="14">
        <v>641655</v>
      </c>
      <c r="E203" s="14">
        <v>543163</v>
      </c>
      <c r="F203" s="14">
        <v>655490</v>
      </c>
      <c r="G203" s="14">
        <v>696453</v>
      </c>
      <c r="H203" s="14">
        <v>638531</v>
      </c>
      <c r="I203" s="14">
        <v>682129</v>
      </c>
    </row>
    <row r="204" spans="1:9" ht="14.5" customHeight="1" x14ac:dyDescent="0.35">
      <c r="A204" s="12"/>
      <c r="B204" s="82" t="s">
        <v>182</v>
      </c>
      <c r="C204" s="13"/>
      <c r="D204" s="14">
        <v>1336639</v>
      </c>
      <c r="E204" s="14">
        <v>996091</v>
      </c>
      <c r="F204" s="14">
        <v>1449308</v>
      </c>
      <c r="G204" s="14">
        <v>3581772</v>
      </c>
      <c r="H204" s="14">
        <v>4450533</v>
      </c>
      <c r="I204" s="14">
        <v>2554202</v>
      </c>
    </row>
    <row r="205" spans="1:9" ht="14.5" customHeight="1" x14ac:dyDescent="0.35">
      <c r="A205" s="12"/>
      <c r="B205" s="82" t="s">
        <v>183</v>
      </c>
      <c r="C205" s="13"/>
      <c r="D205" s="14">
        <v>0</v>
      </c>
      <c r="E205" s="14">
        <v>0</v>
      </c>
      <c r="F205" s="14">
        <v>0</v>
      </c>
      <c r="G205" s="14">
        <v>0</v>
      </c>
      <c r="H205" s="14">
        <v>4448118</v>
      </c>
      <c r="I205" s="14">
        <v>0</v>
      </c>
    </row>
    <row r="206" spans="1:9" ht="14.5" customHeight="1" x14ac:dyDescent="0.35">
      <c r="A206" s="12"/>
      <c r="B206" s="15"/>
      <c r="C206" s="15"/>
      <c r="D206" s="15"/>
      <c r="E206" s="15"/>
      <c r="F206" s="15"/>
      <c r="G206" s="15"/>
      <c r="H206" s="77"/>
      <c r="I206" s="15"/>
    </row>
    <row r="207" spans="1:9" ht="14.5" customHeight="1" x14ac:dyDescent="0.35">
      <c r="A207" s="12"/>
      <c r="B207" s="82" t="s">
        <v>184</v>
      </c>
      <c r="C207" s="13"/>
      <c r="D207" s="14">
        <v>97623529</v>
      </c>
      <c r="E207" s="14">
        <v>105465031</v>
      </c>
      <c r="F207" s="14">
        <v>126800480</v>
      </c>
      <c r="G207" s="14">
        <v>105752392</v>
      </c>
      <c r="H207" s="14">
        <v>129522929</v>
      </c>
      <c r="I207" s="14">
        <v>235450707</v>
      </c>
    </row>
    <row r="208" spans="1:9" ht="14.5" customHeight="1" x14ac:dyDescent="0.35">
      <c r="A208" s="12"/>
      <c r="B208" s="82" t="s">
        <v>185</v>
      </c>
      <c r="C208" s="13"/>
      <c r="D208" s="14">
        <v>53207070</v>
      </c>
      <c r="E208" s="14">
        <v>56944676</v>
      </c>
      <c r="F208" s="14">
        <v>59792650</v>
      </c>
      <c r="G208" s="14">
        <v>51064000</v>
      </c>
      <c r="H208" s="14">
        <v>67558421</v>
      </c>
      <c r="I208" s="14">
        <v>90350858</v>
      </c>
    </row>
    <row r="209" spans="1:12" ht="14.5" customHeight="1" x14ac:dyDescent="0.35">
      <c r="A209" s="12"/>
      <c r="B209" s="82" t="s">
        <v>186</v>
      </c>
      <c r="C209" s="13"/>
      <c r="D209" s="14">
        <v>21011518</v>
      </c>
      <c r="E209" s="14">
        <v>21126943</v>
      </c>
      <c r="F209" s="14">
        <v>23108582</v>
      </c>
      <c r="G209" s="14">
        <v>21187044</v>
      </c>
      <c r="H209" s="14">
        <v>23065142</v>
      </c>
      <c r="I209" s="14">
        <v>32209945</v>
      </c>
    </row>
    <row r="210" spans="1:12" ht="14.5" customHeight="1" x14ac:dyDescent="0.35">
      <c r="A210" s="12"/>
      <c r="B210" s="82" t="s">
        <v>187</v>
      </c>
      <c r="C210" s="13"/>
      <c r="D210" s="14">
        <v>1719001</v>
      </c>
      <c r="E210" s="14">
        <v>1984499</v>
      </c>
      <c r="F210" s="14">
        <v>2026831</v>
      </c>
      <c r="G210" s="14">
        <v>2924677</v>
      </c>
      <c r="H210" s="14">
        <v>3359707</v>
      </c>
      <c r="I210" s="14">
        <v>4558421</v>
      </c>
    </row>
    <row r="211" spans="1:12" ht="14.5" customHeight="1" x14ac:dyDescent="0.35">
      <c r="A211" s="12"/>
      <c r="B211" s="82" t="s">
        <v>188</v>
      </c>
      <c r="C211" s="13"/>
      <c r="D211" s="14">
        <v>17392592</v>
      </c>
      <c r="E211" s="14">
        <v>20293149</v>
      </c>
      <c r="F211" s="14">
        <v>22289565</v>
      </c>
      <c r="G211" s="14">
        <v>26207549</v>
      </c>
      <c r="H211" s="14">
        <v>31159115</v>
      </c>
      <c r="I211" s="14">
        <v>43273537</v>
      </c>
    </row>
    <row r="212" spans="1:12" ht="14.5" customHeight="1" x14ac:dyDescent="0.35">
      <c r="A212" s="12"/>
      <c r="B212" s="82" t="s">
        <v>189</v>
      </c>
      <c r="C212" s="13"/>
      <c r="D212" s="14">
        <v>13088332</v>
      </c>
      <c r="E212" s="14">
        <v>15020894</v>
      </c>
      <c r="F212" s="14">
        <v>17739906</v>
      </c>
      <c r="G212" s="14">
        <v>21047801</v>
      </c>
      <c r="H212" s="14">
        <v>25207647</v>
      </c>
      <c r="I212" s="14">
        <v>34812048</v>
      </c>
    </row>
    <row r="213" spans="1:12" ht="14.5" customHeight="1" x14ac:dyDescent="0.35">
      <c r="A213" s="12"/>
      <c r="B213" s="82" t="s">
        <v>190</v>
      </c>
      <c r="C213" s="13"/>
      <c r="D213" s="14">
        <v>2685761</v>
      </c>
      <c r="E213" s="14">
        <v>3036480</v>
      </c>
      <c r="F213" s="14">
        <v>3347510</v>
      </c>
      <c r="G213" s="14">
        <v>3790632</v>
      </c>
      <c r="H213" s="14">
        <v>4378190</v>
      </c>
      <c r="I213" s="14">
        <v>6305017</v>
      </c>
      <c r="L213" s="149">
        <v>8</v>
      </c>
    </row>
    <row r="214" spans="1:12" ht="14.5" customHeight="1" x14ac:dyDescent="0.35">
      <c r="A214" s="12"/>
      <c r="B214" s="82" t="s">
        <v>191</v>
      </c>
      <c r="C214" s="13"/>
      <c r="D214" s="14">
        <v>628707</v>
      </c>
      <c r="E214" s="14">
        <v>780622</v>
      </c>
      <c r="F214" s="14">
        <v>789801</v>
      </c>
      <c r="G214" s="14">
        <v>921104</v>
      </c>
      <c r="H214" s="14">
        <v>907063</v>
      </c>
      <c r="I214" s="14">
        <v>1130909</v>
      </c>
    </row>
    <row r="215" spans="1:12" ht="14.5" customHeight="1" x14ac:dyDescent="0.35">
      <c r="A215" s="12"/>
      <c r="B215" s="82" t="s">
        <v>192</v>
      </c>
      <c r="C215" s="13"/>
      <c r="D215" s="14">
        <v>25658</v>
      </c>
      <c r="E215" s="14">
        <v>44834</v>
      </c>
      <c r="F215" s="14">
        <v>78087</v>
      </c>
      <c r="G215" s="14">
        <v>81507</v>
      </c>
      <c r="H215" s="14">
        <v>107004</v>
      </c>
      <c r="I215" s="14">
        <v>200206</v>
      </c>
    </row>
    <row r="216" spans="1:12" ht="14.5" customHeight="1" x14ac:dyDescent="0.35">
      <c r="A216" s="12"/>
      <c r="B216" s="82" t="s">
        <v>193</v>
      </c>
      <c r="C216" s="13"/>
      <c r="D216" s="14">
        <v>964134</v>
      </c>
      <c r="E216" s="14">
        <v>1410319</v>
      </c>
      <c r="F216" s="14">
        <v>334261</v>
      </c>
      <c r="G216" s="14">
        <v>366505</v>
      </c>
      <c r="H216" s="14">
        <v>559211</v>
      </c>
      <c r="I216" s="14">
        <v>825357</v>
      </c>
    </row>
    <row r="217" spans="1:12" ht="14.5" customHeight="1" x14ac:dyDescent="0.35">
      <c r="A217" s="12"/>
      <c r="B217" s="82" t="s">
        <v>194</v>
      </c>
      <c r="C217" s="13"/>
      <c r="D217" s="16"/>
      <c r="E217" s="16"/>
      <c r="F217" s="16"/>
      <c r="G217" s="16"/>
      <c r="H217" s="16"/>
      <c r="I217" s="16"/>
    </row>
    <row r="218" spans="1:12" ht="14.5" customHeight="1" x14ac:dyDescent="0.35">
      <c r="A218" s="12"/>
      <c r="B218" s="82" t="s">
        <v>195</v>
      </c>
      <c r="C218" s="13"/>
      <c r="D218" s="14">
        <v>5853774</v>
      </c>
      <c r="E218" s="14">
        <v>6089234</v>
      </c>
      <c r="F218" s="14">
        <v>19027929</v>
      </c>
      <c r="G218" s="14">
        <v>5152135</v>
      </c>
      <c r="H218" s="14">
        <v>3736419</v>
      </c>
      <c r="I218" s="148">
        <v>59620105</v>
      </c>
    </row>
    <row r="219" spans="1:12" ht="14.5" customHeight="1" x14ac:dyDescent="0.35">
      <c r="A219" s="12"/>
      <c r="B219" s="82" t="s">
        <v>196</v>
      </c>
      <c r="C219" s="13"/>
      <c r="D219" s="14">
        <v>4893205</v>
      </c>
      <c r="E219" s="14">
        <v>4933067</v>
      </c>
      <c r="F219" s="14">
        <v>17982827</v>
      </c>
      <c r="G219" s="14">
        <v>4071388</v>
      </c>
      <c r="H219" s="14">
        <v>2615539</v>
      </c>
      <c r="I219" s="148">
        <v>25807029</v>
      </c>
    </row>
    <row r="220" spans="1:12" ht="14.5" customHeight="1" x14ac:dyDescent="0.35">
      <c r="A220" s="12"/>
      <c r="B220" s="82" t="s">
        <v>197</v>
      </c>
      <c r="C220" s="13"/>
      <c r="D220" s="14">
        <v>959244</v>
      </c>
      <c r="E220" s="14">
        <v>1135404</v>
      </c>
      <c r="F220" s="14">
        <v>1040326</v>
      </c>
      <c r="G220" s="14">
        <v>1053751</v>
      </c>
      <c r="H220" s="14">
        <v>1079224</v>
      </c>
      <c r="I220" s="14">
        <v>2366725</v>
      </c>
    </row>
    <row r="221" spans="1:12" ht="14.5" customHeight="1" x14ac:dyDescent="0.35">
      <c r="A221" s="12"/>
      <c r="B221" s="82" t="s">
        <v>198</v>
      </c>
      <c r="C221" s="13"/>
      <c r="D221" s="14">
        <v>0</v>
      </c>
      <c r="E221" s="14">
        <v>0</v>
      </c>
      <c r="F221" s="14">
        <v>0</v>
      </c>
      <c r="G221" s="14">
        <v>0</v>
      </c>
      <c r="H221" s="14">
        <v>0</v>
      </c>
      <c r="I221" s="148">
        <v>30525000</v>
      </c>
    </row>
    <row r="222" spans="1:12" ht="14.5" customHeight="1" x14ac:dyDescent="0.35">
      <c r="A222" s="12"/>
      <c r="B222" s="82" t="s">
        <v>199</v>
      </c>
      <c r="C222" s="13"/>
      <c r="D222" s="16"/>
      <c r="E222" s="16"/>
      <c r="F222" s="16"/>
      <c r="G222" s="16"/>
      <c r="H222" s="16"/>
      <c r="I222" s="16"/>
    </row>
    <row r="223" spans="1:12" ht="14.5" customHeight="1" x14ac:dyDescent="0.35">
      <c r="A223" s="12"/>
      <c r="B223" s="82" t="s">
        <v>200</v>
      </c>
      <c r="C223" s="13"/>
      <c r="D223" s="14">
        <v>1325</v>
      </c>
      <c r="E223" s="14">
        <v>20763</v>
      </c>
      <c r="F223" s="14">
        <v>4776</v>
      </c>
      <c r="G223" s="14">
        <v>26996</v>
      </c>
      <c r="H223" s="14">
        <v>41656</v>
      </c>
      <c r="I223" s="14">
        <v>921351</v>
      </c>
    </row>
    <row r="224" spans="1:12" ht="14.5" customHeight="1" x14ac:dyDescent="0.35">
      <c r="A224" s="12"/>
      <c r="B224" s="82" t="s">
        <v>201</v>
      </c>
      <c r="C224" s="13"/>
      <c r="D224" s="14">
        <v>-2278245</v>
      </c>
      <c r="E224" s="14">
        <v>-2676959</v>
      </c>
      <c r="F224" s="14">
        <v>-626974</v>
      </c>
      <c r="G224" s="14">
        <v>-1915335</v>
      </c>
      <c r="H224" s="14">
        <v>-1140554</v>
      </c>
      <c r="I224" s="14">
        <v>2517865</v>
      </c>
    </row>
    <row r="225" spans="1:9" ht="14.5" customHeight="1" x14ac:dyDescent="0.35">
      <c r="A225" s="12"/>
      <c r="B225" s="82" t="s">
        <v>202</v>
      </c>
      <c r="C225" s="13"/>
      <c r="D225" s="14">
        <v>250000</v>
      </c>
      <c r="E225" s="14">
        <v>799464</v>
      </c>
      <c r="F225" s="14">
        <v>177788</v>
      </c>
      <c r="G225" s="14">
        <v>1454</v>
      </c>
      <c r="H225" s="14">
        <v>0</v>
      </c>
      <c r="I225" s="14">
        <v>0</v>
      </c>
    </row>
    <row r="226" spans="1:9" ht="14.5" customHeight="1" x14ac:dyDescent="0.35">
      <c r="A226" s="12"/>
      <c r="B226" s="82" t="s">
        <v>203</v>
      </c>
      <c r="C226" s="13"/>
      <c r="D226" s="14">
        <v>0</v>
      </c>
      <c r="E226" s="14">
        <v>0</v>
      </c>
      <c r="F226" s="14">
        <v>3480</v>
      </c>
      <c r="G226" s="14">
        <v>0</v>
      </c>
      <c r="H226" s="14">
        <v>0</v>
      </c>
      <c r="I226" s="14">
        <v>0</v>
      </c>
    </row>
    <row r="227" spans="1:9" ht="14.5" customHeight="1" x14ac:dyDescent="0.35">
      <c r="A227" s="12"/>
      <c r="B227" s="82" t="s">
        <v>204</v>
      </c>
      <c r="C227" s="13"/>
      <c r="D227" s="14">
        <v>467819</v>
      </c>
      <c r="E227" s="14">
        <v>904025</v>
      </c>
      <c r="F227" s="14">
        <v>1000629</v>
      </c>
      <c r="G227" s="14">
        <v>1130868</v>
      </c>
      <c r="H227" s="14">
        <v>1784679</v>
      </c>
      <c r="I227" s="14">
        <v>2919976</v>
      </c>
    </row>
    <row r="228" spans="1:9" ht="14.5" customHeight="1" x14ac:dyDescent="0.35">
      <c r="A228" s="12"/>
      <c r="B228" s="15"/>
      <c r="C228" s="15"/>
      <c r="D228" s="15"/>
      <c r="E228" s="15"/>
      <c r="F228" s="15"/>
      <c r="G228" s="15"/>
      <c r="H228" s="15"/>
      <c r="I228" s="15"/>
    </row>
    <row r="229" spans="1:9" ht="14.5" customHeight="1" x14ac:dyDescent="0.35">
      <c r="A229" s="12"/>
      <c r="B229" s="82" t="s">
        <v>205</v>
      </c>
      <c r="C229" s="13"/>
      <c r="D229" s="14">
        <v>6953972</v>
      </c>
      <c r="E229" s="14">
        <v>4910359</v>
      </c>
      <c r="F229" s="14">
        <v>-2028418</v>
      </c>
      <c r="G229" s="14">
        <v>1945541</v>
      </c>
      <c r="H229" s="14">
        <v>3074258</v>
      </c>
      <c r="I229" s="14">
        <v>-67830950</v>
      </c>
    </row>
    <row r="230" spans="1:9" ht="14.5" customHeight="1" x14ac:dyDescent="0.35">
      <c r="A230" s="12"/>
      <c r="B230" s="82" t="s">
        <v>206</v>
      </c>
      <c r="C230" s="13"/>
      <c r="D230" s="14">
        <v>30450338</v>
      </c>
      <c r="E230" s="14">
        <v>32092206</v>
      </c>
      <c r="F230" s="14">
        <v>39470344</v>
      </c>
      <c r="G230" s="14">
        <v>33306679</v>
      </c>
      <c r="H230" s="14">
        <v>37969792</v>
      </c>
      <c r="I230" s="14">
        <v>35062692</v>
      </c>
    </row>
    <row r="231" spans="1:9" ht="14.5" customHeight="1" x14ac:dyDescent="0.35">
      <c r="A231" s="12"/>
      <c r="B231" s="15"/>
      <c r="C231" s="15"/>
      <c r="D231" s="15"/>
      <c r="E231" s="15"/>
      <c r="F231" s="15"/>
      <c r="G231" s="15"/>
      <c r="H231" s="15"/>
      <c r="I231" s="15"/>
    </row>
    <row r="232" spans="1:9" ht="14.5" customHeight="1" x14ac:dyDescent="0.35">
      <c r="A232" s="12"/>
      <c r="B232" s="82" t="s">
        <v>207</v>
      </c>
      <c r="C232" s="13"/>
      <c r="D232" s="14">
        <v>-1584368</v>
      </c>
      <c r="E232" s="14">
        <v>-1291958</v>
      </c>
      <c r="F232" s="14">
        <v>-3709273</v>
      </c>
      <c r="G232" s="14">
        <v>-5971464</v>
      </c>
      <c r="H232" s="14">
        <v>-4061628</v>
      </c>
      <c r="I232" s="14">
        <v>-5816093</v>
      </c>
    </row>
    <row r="233" spans="1:9" ht="14.5" customHeight="1" x14ac:dyDescent="0.35">
      <c r="A233" s="12"/>
      <c r="B233" s="82" t="s">
        <v>208</v>
      </c>
      <c r="C233" s="13"/>
      <c r="D233" s="14">
        <v>0</v>
      </c>
      <c r="E233" s="14">
        <v>0</v>
      </c>
      <c r="F233" s="14">
        <v>0</v>
      </c>
      <c r="G233" s="14">
        <v>0</v>
      </c>
      <c r="H233" s="14">
        <v>0</v>
      </c>
      <c r="I233" s="14">
        <v>0</v>
      </c>
    </row>
    <row r="234" spans="1:9" ht="14.5" customHeight="1" x14ac:dyDescent="0.35">
      <c r="A234" s="12"/>
      <c r="B234" s="82" t="s">
        <v>209</v>
      </c>
      <c r="C234" s="13"/>
      <c r="D234" s="14">
        <v>0</v>
      </c>
      <c r="E234" s="14">
        <v>0</v>
      </c>
      <c r="F234" s="14">
        <v>0</v>
      </c>
      <c r="G234" s="14">
        <v>0</v>
      </c>
      <c r="H234" s="14">
        <v>0</v>
      </c>
      <c r="I234" s="14">
        <v>0</v>
      </c>
    </row>
    <row r="235" spans="1:9" ht="14.5" customHeight="1" x14ac:dyDescent="0.35">
      <c r="A235" s="12"/>
      <c r="B235" s="82" t="s">
        <v>210</v>
      </c>
      <c r="C235" s="13"/>
      <c r="D235" s="14">
        <v>0</v>
      </c>
      <c r="E235" s="14">
        <v>0</v>
      </c>
      <c r="F235" s="14">
        <v>0</v>
      </c>
      <c r="G235" s="14">
        <v>0</v>
      </c>
      <c r="H235" s="14">
        <v>0</v>
      </c>
      <c r="I235" s="14">
        <v>0</v>
      </c>
    </row>
    <row r="236" spans="1:9" ht="14.5" customHeight="1" x14ac:dyDescent="0.35">
      <c r="A236" s="12"/>
      <c r="B236" s="82" t="s">
        <v>211</v>
      </c>
      <c r="C236" s="13"/>
      <c r="D236" s="14">
        <v>0</v>
      </c>
      <c r="E236" s="14">
        <v>0</v>
      </c>
      <c r="F236" s="14">
        <v>0</v>
      </c>
      <c r="G236" s="14">
        <v>0</v>
      </c>
      <c r="H236" s="14">
        <v>0</v>
      </c>
      <c r="I236" s="14">
        <v>0</v>
      </c>
    </row>
    <row r="237" spans="1:9" ht="14.5" customHeight="1" x14ac:dyDescent="0.35">
      <c r="A237" s="12"/>
      <c r="B237" s="82" t="s">
        <v>212</v>
      </c>
      <c r="C237" s="13"/>
      <c r="D237" s="14">
        <v>4335</v>
      </c>
      <c r="E237" s="14">
        <v>8715</v>
      </c>
      <c r="F237" s="14">
        <v>3568</v>
      </c>
      <c r="G237" s="14">
        <v>34104</v>
      </c>
      <c r="H237" s="14">
        <v>12844</v>
      </c>
      <c r="I237" s="14">
        <v>90121</v>
      </c>
    </row>
    <row r="238" spans="1:9" ht="14.5" customHeight="1" x14ac:dyDescent="0.35">
      <c r="A238" s="12"/>
      <c r="B238" s="82" t="s">
        <v>213</v>
      </c>
      <c r="C238" s="13"/>
      <c r="D238" s="14">
        <v>0</v>
      </c>
      <c r="E238" s="14">
        <v>0</v>
      </c>
      <c r="F238" s="14">
        <v>0</v>
      </c>
      <c r="G238" s="14">
        <v>2445</v>
      </c>
      <c r="H238" s="14">
        <v>0</v>
      </c>
      <c r="I238" s="14">
        <v>49405</v>
      </c>
    </row>
    <row r="239" spans="1:9" ht="14.5" customHeight="1" x14ac:dyDescent="0.35">
      <c r="A239" s="12"/>
      <c r="B239" s="82" t="s">
        <v>214</v>
      </c>
      <c r="C239" s="13"/>
      <c r="D239" s="16"/>
      <c r="E239" s="16"/>
      <c r="F239" s="16"/>
      <c r="G239" s="16"/>
      <c r="H239" s="16"/>
      <c r="I239" s="16"/>
    </row>
    <row r="240" spans="1:9" ht="14.5" customHeight="1" x14ac:dyDescent="0.35">
      <c r="A240" s="12"/>
      <c r="B240" s="82" t="s">
        <v>215</v>
      </c>
      <c r="C240" s="13"/>
      <c r="D240" s="14">
        <v>0</v>
      </c>
      <c r="E240" s="14">
        <v>0</v>
      </c>
      <c r="F240" s="14">
        <v>0</v>
      </c>
      <c r="G240" s="16"/>
      <c r="H240" s="14">
        <v>0</v>
      </c>
      <c r="I240" s="14">
        <v>0</v>
      </c>
    </row>
    <row r="241" spans="1:9" ht="14.5" customHeight="1" x14ac:dyDescent="0.35">
      <c r="A241" s="12"/>
      <c r="B241" s="82" t="s">
        <v>216</v>
      </c>
      <c r="C241" s="13"/>
      <c r="D241" s="14">
        <v>0</v>
      </c>
      <c r="E241" s="14">
        <v>0</v>
      </c>
      <c r="F241" s="14">
        <v>0</v>
      </c>
      <c r="G241" s="14">
        <v>0</v>
      </c>
      <c r="H241" s="14">
        <v>0</v>
      </c>
      <c r="I241" s="14">
        <v>0</v>
      </c>
    </row>
    <row r="242" spans="1:9" ht="14.5" customHeight="1" x14ac:dyDescent="0.35">
      <c r="A242" s="12"/>
      <c r="B242" s="82" t="s">
        <v>217</v>
      </c>
      <c r="C242" s="13"/>
      <c r="D242" s="14">
        <v>0</v>
      </c>
      <c r="E242" s="14">
        <v>0</v>
      </c>
      <c r="F242" s="14">
        <v>0</v>
      </c>
      <c r="G242" s="14">
        <v>0</v>
      </c>
      <c r="H242" s="14">
        <v>0</v>
      </c>
      <c r="I242" s="14">
        <v>0</v>
      </c>
    </row>
    <row r="243" spans="1:9" ht="14.5" customHeight="1" x14ac:dyDescent="0.35">
      <c r="A243" s="12"/>
      <c r="B243" s="82" t="s">
        <v>218</v>
      </c>
      <c r="C243" s="13"/>
      <c r="D243" s="16"/>
      <c r="E243" s="16"/>
      <c r="F243" s="16"/>
      <c r="G243" s="16"/>
      <c r="H243" s="16"/>
      <c r="I243" s="16"/>
    </row>
    <row r="244" spans="1:9" ht="14.5" customHeight="1" x14ac:dyDescent="0.35">
      <c r="A244" s="12"/>
      <c r="B244" s="82" t="s">
        <v>219</v>
      </c>
      <c r="C244" s="13"/>
      <c r="D244" s="14">
        <v>4335</v>
      </c>
      <c r="E244" s="14">
        <v>8715</v>
      </c>
      <c r="F244" s="14">
        <v>3568</v>
      </c>
      <c r="G244" s="14">
        <v>31659</v>
      </c>
      <c r="H244" s="14">
        <v>12844</v>
      </c>
      <c r="I244" s="14">
        <v>40716</v>
      </c>
    </row>
    <row r="245" spans="1:9" ht="14.5" customHeight="1" x14ac:dyDescent="0.35">
      <c r="A245" s="12"/>
      <c r="B245" s="82" t="s">
        <v>214</v>
      </c>
      <c r="C245" s="13"/>
      <c r="D245" s="14">
        <v>0</v>
      </c>
      <c r="E245" s="14">
        <v>0</v>
      </c>
      <c r="F245" s="16"/>
      <c r="G245" s="14">
        <v>0</v>
      </c>
      <c r="H245" s="14">
        <v>0</v>
      </c>
      <c r="I245" s="14">
        <v>270027</v>
      </c>
    </row>
    <row r="246" spans="1:9" ht="14.5" customHeight="1" x14ac:dyDescent="0.35">
      <c r="A246" s="12"/>
      <c r="B246" s="82" t="s">
        <v>215</v>
      </c>
      <c r="C246" s="13"/>
      <c r="D246" s="14">
        <v>0</v>
      </c>
      <c r="E246" s="14">
        <v>0</v>
      </c>
      <c r="F246" s="14">
        <v>0</v>
      </c>
      <c r="G246" s="14">
        <v>0</v>
      </c>
      <c r="H246" s="14">
        <v>0</v>
      </c>
      <c r="I246" s="14">
        <v>0</v>
      </c>
    </row>
    <row r="247" spans="1:9" ht="14.5" customHeight="1" x14ac:dyDescent="0.35">
      <c r="A247" s="12"/>
      <c r="B247" s="82" t="s">
        <v>220</v>
      </c>
      <c r="C247" s="13"/>
      <c r="D247" s="14">
        <v>1091007</v>
      </c>
      <c r="E247" s="14">
        <v>1045685</v>
      </c>
      <c r="F247" s="14">
        <v>3951556</v>
      </c>
      <c r="G247" s="14">
        <v>4981663</v>
      </c>
      <c r="H247" s="14">
        <v>5074199</v>
      </c>
      <c r="I247" s="14">
        <v>5839630</v>
      </c>
    </row>
    <row r="248" spans="1:9" ht="14.5" customHeight="1" x14ac:dyDescent="0.35">
      <c r="A248" s="12"/>
      <c r="B248" s="82" t="s">
        <v>221</v>
      </c>
      <c r="C248" s="13"/>
      <c r="D248" s="16"/>
      <c r="E248" s="16"/>
      <c r="F248" s="16"/>
      <c r="G248" s="16"/>
      <c r="H248" s="16"/>
      <c r="I248" s="16"/>
    </row>
    <row r="249" spans="1:9" ht="14.5" customHeight="1" x14ac:dyDescent="0.35">
      <c r="A249" s="12"/>
      <c r="B249" s="82" t="s">
        <v>211</v>
      </c>
      <c r="C249" s="13"/>
      <c r="D249" s="14">
        <v>0</v>
      </c>
      <c r="E249" s="14">
        <v>0</v>
      </c>
      <c r="F249" s="16"/>
      <c r="G249" s="14">
        <v>0</v>
      </c>
      <c r="H249" s="14">
        <v>0</v>
      </c>
      <c r="I249" s="14">
        <v>0</v>
      </c>
    </row>
    <row r="250" spans="1:9" ht="14.5" customHeight="1" x14ac:dyDescent="0.35">
      <c r="A250" s="12"/>
      <c r="B250" s="82" t="s">
        <v>222</v>
      </c>
      <c r="C250" s="13"/>
      <c r="D250" s="14">
        <v>-497696</v>
      </c>
      <c r="E250" s="14">
        <v>-254988</v>
      </c>
      <c r="F250" s="14">
        <v>238715</v>
      </c>
      <c r="G250" s="14">
        <v>-1023905</v>
      </c>
      <c r="H250" s="14">
        <v>999727</v>
      </c>
      <c r="I250" s="14">
        <v>-66584</v>
      </c>
    </row>
    <row r="251" spans="1:9" ht="14.5" customHeight="1" x14ac:dyDescent="0.35">
      <c r="A251" s="12"/>
      <c r="B251" s="15"/>
      <c r="C251" s="15"/>
      <c r="D251" s="15"/>
      <c r="E251" s="15"/>
      <c r="F251" s="15"/>
      <c r="G251" s="15"/>
      <c r="H251" s="15"/>
      <c r="I251" s="15"/>
    </row>
    <row r="252" spans="1:9" ht="14.5" customHeight="1" x14ac:dyDescent="0.35">
      <c r="A252" s="12"/>
      <c r="B252" s="82" t="s">
        <v>223</v>
      </c>
      <c r="C252" s="13"/>
      <c r="D252" s="14">
        <v>0</v>
      </c>
      <c r="E252" s="14">
        <v>0</v>
      </c>
      <c r="F252" s="14">
        <v>0</v>
      </c>
      <c r="G252" s="14">
        <v>0</v>
      </c>
      <c r="H252" s="14">
        <v>0</v>
      </c>
      <c r="I252" s="14">
        <v>-46907</v>
      </c>
    </row>
    <row r="253" spans="1:9" ht="14.5" customHeight="1" x14ac:dyDescent="0.35">
      <c r="A253" s="12"/>
      <c r="B253" s="82" t="s">
        <v>224</v>
      </c>
      <c r="C253" s="13"/>
      <c r="D253" s="14">
        <v>0</v>
      </c>
      <c r="E253" s="14">
        <v>0</v>
      </c>
      <c r="F253" s="14">
        <v>0</v>
      </c>
      <c r="G253" s="14">
        <v>0</v>
      </c>
      <c r="H253" s="14">
        <v>0</v>
      </c>
      <c r="I253" s="14">
        <v>0</v>
      </c>
    </row>
    <row r="254" spans="1:9" ht="14.5" customHeight="1" x14ac:dyDescent="0.35">
      <c r="A254" s="12"/>
      <c r="B254" s="82" t="s">
        <v>225</v>
      </c>
      <c r="C254" s="13"/>
      <c r="D254" s="14">
        <v>0</v>
      </c>
      <c r="E254" s="14">
        <v>0</v>
      </c>
      <c r="F254" s="14">
        <v>0</v>
      </c>
      <c r="G254" s="14">
        <v>0</v>
      </c>
      <c r="H254" s="14">
        <v>0</v>
      </c>
      <c r="I254" s="14">
        <v>0</v>
      </c>
    </row>
    <row r="255" spans="1:9" ht="14.5" customHeight="1" x14ac:dyDescent="0.35">
      <c r="A255" s="12"/>
      <c r="B255" s="82" t="s">
        <v>226</v>
      </c>
      <c r="C255" s="13"/>
      <c r="D255" s="14">
        <v>0</v>
      </c>
      <c r="E255" s="14">
        <v>0</v>
      </c>
      <c r="F255" s="14">
        <v>0</v>
      </c>
      <c r="G255" s="14">
        <v>0</v>
      </c>
      <c r="H255" s="14">
        <v>0</v>
      </c>
      <c r="I255" s="14">
        <v>0</v>
      </c>
    </row>
    <row r="256" spans="1:9" ht="14.5" customHeight="1" x14ac:dyDescent="0.35">
      <c r="A256" s="12"/>
      <c r="B256" s="82" t="s">
        <v>227</v>
      </c>
      <c r="C256" s="13"/>
      <c r="D256" s="14">
        <v>0</v>
      </c>
      <c r="E256" s="14">
        <v>0</v>
      </c>
      <c r="F256" s="14">
        <v>0</v>
      </c>
      <c r="G256" s="14">
        <v>0</v>
      </c>
      <c r="H256" s="14">
        <v>0</v>
      </c>
      <c r="I256" s="14">
        <v>0</v>
      </c>
    </row>
    <row r="257" spans="1:9" ht="14.5" customHeight="1" x14ac:dyDescent="0.35">
      <c r="A257" s="12"/>
      <c r="B257" s="82" t="s">
        <v>228</v>
      </c>
      <c r="C257" s="13"/>
      <c r="D257" s="14">
        <v>0</v>
      </c>
      <c r="E257" s="14">
        <v>0</v>
      </c>
      <c r="F257" s="14">
        <v>0</v>
      </c>
      <c r="G257" s="14">
        <v>0</v>
      </c>
      <c r="H257" s="14">
        <v>0</v>
      </c>
      <c r="I257" s="14">
        <v>0</v>
      </c>
    </row>
    <row r="258" spans="1:9" ht="14.5" customHeight="1" x14ac:dyDescent="0.35">
      <c r="A258" s="12"/>
      <c r="B258" s="82" t="s">
        <v>229</v>
      </c>
      <c r="C258" s="13"/>
      <c r="D258" s="14">
        <v>0</v>
      </c>
      <c r="E258" s="14">
        <v>0</v>
      </c>
      <c r="F258" s="14">
        <v>0</v>
      </c>
      <c r="G258" s="14">
        <v>0</v>
      </c>
      <c r="H258" s="14">
        <v>0</v>
      </c>
      <c r="I258" s="14">
        <v>0</v>
      </c>
    </row>
    <row r="259" spans="1:9" ht="14.5" customHeight="1" x14ac:dyDescent="0.35">
      <c r="A259" s="12"/>
      <c r="B259" s="82" t="s">
        <v>230</v>
      </c>
      <c r="C259" s="13"/>
      <c r="D259" s="14">
        <v>0</v>
      </c>
      <c r="E259" s="14">
        <v>0</v>
      </c>
      <c r="F259" s="14">
        <v>0</v>
      </c>
      <c r="G259" s="14">
        <v>0</v>
      </c>
      <c r="H259" s="14">
        <v>0</v>
      </c>
      <c r="I259" s="14">
        <v>46907</v>
      </c>
    </row>
    <row r="260" spans="1:9" ht="14.5" customHeight="1" x14ac:dyDescent="0.35">
      <c r="A260" s="12"/>
      <c r="B260" s="82" t="s">
        <v>231</v>
      </c>
      <c r="C260" s="13"/>
      <c r="D260" s="14">
        <v>0</v>
      </c>
      <c r="E260" s="14">
        <v>0</v>
      </c>
      <c r="F260" s="14">
        <v>0</v>
      </c>
      <c r="G260" s="14">
        <v>0</v>
      </c>
      <c r="H260" s="14">
        <v>0</v>
      </c>
      <c r="I260" s="14">
        <v>46907</v>
      </c>
    </row>
    <row r="261" spans="1:9" ht="14.5" customHeight="1" x14ac:dyDescent="0.35">
      <c r="A261" s="12"/>
      <c r="B261" s="82" t="s">
        <v>232</v>
      </c>
      <c r="C261" s="13"/>
      <c r="D261" s="14">
        <v>0</v>
      </c>
      <c r="E261" s="14">
        <v>0</v>
      </c>
      <c r="F261" s="14">
        <v>0</v>
      </c>
      <c r="G261" s="14">
        <v>0</v>
      </c>
      <c r="H261" s="14">
        <v>0</v>
      </c>
      <c r="I261" s="14">
        <v>0</v>
      </c>
    </row>
    <row r="262" spans="1:9" ht="14.5" customHeight="1" x14ac:dyDescent="0.35">
      <c r="A262" s="12"/>
      <c r="B262" s="82" t="s">
        <v>233</v>
      </c>
      <c r="C262" s="13"/>
      <c r="D262" s="14">
        <v>0</v>
      </c>
      <c r="E262" s="14">
        <v>0</v>
      </c>
      <c r="F262" s="14">
        <v>0</v>
      </c>
      <c r="G262" s="14">
        <v>0</v>
      </c>
      <c r="H262" s="14">
        <v>0</v>
      </c>
      <c r="I262" s="14">
        <v>0</v>
      </c>
    </row>
    <row r="263" spans="1:9" ht="14.5" customHeight="1" x14ac:dyDescent="0.35">
      <c r="A263" s="12"/>
      <c r="B263" s="82" t="s">
        <v>234</v>
      </c>
      <c r="C263" s="13"/>
      <c r="D263" s="14"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</row>
    <row r="264" spans="1:9" ht="14.5" customHeight="1" x14ac:dyDescent="0.35">
      <c r="A264" s="12"/>
      <c r="B264" s="82" t="s">
        <v>235</v>
      </c>
      <c r="C264" s="13"/>
      <c r="D264" s="14">
        <v>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</row>
    <row r="265" spans="1:9" ht="14.5" customHeight="1" x14ac:dyDescent="0.35">
      <c r="A265" s="12"/>
      <c r="B265" s="15"/>
      <c r="C265" s="15"/>
      <c r="D265" s="15"/>
      <c r="E265" s="15"/>
      <c r="F265" s="15"/>
      <c r="G265" s="15"/>
      <c r="H265" s="15"/>
      <c r="I265" s="15"/>
    </row>
    <row r="266" spans="1:9" ht="14.5" customHeight="1" x14ac:dyDescent="0.35">
      <c r="A266" s="12"/>
      <c r="B266" s="82" t="s">
        <v>236</v>
      </c>
      <c r="C266" s="13"/>
      <c r="D266" s="14">
        <v>1565</v>
      </c>
      <c r="E266" s="14">
        <v>179</v>
      </c>
      <c r="F266" s="14">
        <v>0</v>
      </c>
      <c r="G266" s="14">
        <v>-1</v>
      </c>
      <c r="H266" s="14">
        <v>0</v>
      </c>
      <c r="I266" s="14">
        <v>0</v>
      </c>
    </row>
    <row r="267" spans="1:9" ht="14.5" customHeight="1" x14ac:dyDescent="0.35">
      <c r="A267" s="12"/>
      <c r="B267" s="82" t="s">
        <v>237</v>
      </c>
      <c r="C267" s="13"/>
      <c r="D267" s="14">
        <v>1565</v>
      </c>
      <c r="E267" s="14">
        <v>179</v>
      </c>
      <c r="F267" s="14">
        <v>0</v>
      </c>
      <c r="G267" s="14">
        <v>0</v>
      </c>
      <c r="H267" s="14">
        <v>0</v>
      </c>
      <c r="I267" s="14">
        <v>0</v>
      </c>
    </row>
    <row r="268" spans="1:9" ht="14.5" customHeight="1" x14ac:dyDescent="0.35">
      <c r="A268" s="12"/>
      <c r="B268" s="82" t="s">
        <v>238</v>
      </c>
      <c r="C268" s="13"/>
      <c r="D268" s="16"/>
      <c r="E268" s="16"/>
      <c r="F268" s="14">
        <v>0</v>
      </c>
      <c r="G268" s="14">
        <v>0</v>
      </c>
      <c r="H268" s="14">
        <v>0</v>
      </c>
      <c r="I268" s="14">
        <v>0</v>
      </c>
    </row>
    <row r="269" spans="1:9" ht="14.5" customHeight="1" x14ac:dyDescent="0.35">
      <c r="A269" s="12"/>
      <c r="B269" s="82" t="s">
        <v>239</v>
      </c>
      <c r="C269" s="13"/>
      <c r="D269" s="14">
        <v>0</v>
      </c>
      <c r="E269" s="14">
        <v>0</v>
      </c>
      <c r="F269" s="14">
        <v>0</v>
      </c>
      <c r="G269" s="14">
        <v>1</v>
      </c>
      <c r="H269" s="14">
        <v>0</v>
      </c>
      <c r="I269" s="14">
        <v>0</v>
      </c>
    </row>
    <row r="270" spans="1:9" ht="14.5" customHeight="1" x14ac:dyDescent="0.35">
      <c r="A270" s="12"/>
      <c r="B270" s="82" t="s">
        <v>240</v>
      </c>
      <c r="C270" s="13"/>
      <c r="D270" s="14">
        <v>0</v>
      </c>
      <c r="E270" s="14">
        <v>0</v>
      </c>
      <c r="F270" s="14">
        <v>0</v>
      </c>
      <c r="G270" s="14">
        <v>0</v>
      </c>
      <c r="H270" s="14">
        <v>0</v>
      </c>
      <c r="I270" s="14">
        <v>0</v>
      </c>
    </row>
    <row r="271" spans="1:9" ht="14.5" customHeight="1" x14ac:dyDescent="0.35">
      <c r="A271" s="12"/>
      <c r="B271" s="82" t="s">
        <v>241</v>
      </c>
      <c r="C271" s="13"/>
      <c r="D271" s="14">
        <v>0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</row>
    <row r="272" spans="1:9" ht="14.5" customHeight="1" x14ac:dyDescent="0.35">
      <c r="A272" s="12"/>
      <c r="B272" s="15"/>
      <c r="C272" s="15"/>
      <c r="D272" s="15"/>
      <c r="E272" s="15"/>
      <c r="F272" s="15"/>
      <c r="G272" s="15"/>
      <c r="H272" s="15"/>
      <c r="I272" s="15"/>
    </row>
    <row r="273" spans="1:9" ht="14.5" customHeight="1" x14ac:dyDescent="0.35">
      <c r="A273" s="12"/>
      <c r="B273" s="82" t="s">
        <v>242</v>
      </c>
      <c r="C273" s="13"/>
      <c r="D273" s="14">
        <v>5371169</v>
      </c>
      <c r="E273" s="14">
        <v>3618580</v>
      </c>
      <c r="F273" s="14">
        <v>-5737691</v>
      </c>
      <c r="G273" s="14">
        <v>-4025924</v>
      </c>
      <c r="H273" s="14">
        <v>-987370</v>
      </c>
      <c r="I273" s="14">
        <v>-73693950</v>
      </c>
    </row>
    <row r="274" spans="1:9" ht="14.5" customHeight="1" x14ac:dyDescent="0.35">
      <c r="A274" s="12"/>
      <c r="B274" s="82" t="s">
        <v>243</v>
      </c>
      <c r="C274" s="13"/>
      <c r="D274" s="14">
        <v>2497731</v>
      </c>
      <c r="E274" s="14">
        <v>2213294</v>
      </c>
      <c r="F274" s="14">
        <v>2657302</v>
      </c>
      <c r="G274" s="14">
        <v>1510921</v>
      </c>
      <c r="H274" s="14">
        <v>1944287</v>
      </c>
      <c r="I274" s="14">
        <v>440361</v>
      </c>
    </row>
    <row r="275" spans="1:9" ht="14.5" customHeight="1" x14ac:dyDescent="0.35">
      <c r="A275" s="12"/>
      <c r="B275" s="82" t="s">
        <v>244</v>
      </c>
      <c r="C275" s="13"/>
      <c r="D275" s="14">
        <v>2646685</v>
      </c>
      <c r="E275" s="14">
        <v>2400083</v>
      </c>
      <c r="F275" s="14">
        <v>2428983</v>
      </c>
      <c r="G275" s="14">
        <v>567254</v>
      </c>
      <c r="H275" s="14">
        <v>352504</v>
      </c>
      <c r="I275" s="14">
        <v>818605</v>
      </c>
    </row>
    <row r="276" spans="1:9" ht="14.5" customHeight="1" x14ac:dyDescent="0.35">
      <c r="A276" s="12"/>
      <c r="B276" s="82" t="s">
        <v>245</v>
      </c>
      <c r="C276" s="13"/>
      <c r="D276" s="14">
        <v>-18710</v>
      </c>
      <c r="E276" s="14">
        <v>-72736</v>
      </c>
      <c r="F276" s="14">
        <v>-9919</v>
      </c>
      <c r="G276" s="14">
        <v>30462</v>
      </c>
      <c r="H276" s="14">
        <v>-44759</v>
      </c>
      <c r="I276" s="14">
        <v>6342</v>
      </c>
    </row>
    <row r="277" spans="1:9" ht="14.5" customHeight="1" x14ac:dyDescent="0.35">
      <c r="A277" s="12"/>
      <c r="B277" s="82" t="s">
        <v>246</v>
      </c>
      <c r="C277" s="13"/>
      <c r="D277" s="14">
        <v>-130244</v>
      </c>
      <c r="E277" s="14">
        <v>-114053</v>
      </c>
      <c r="F277" s="14">
        <v>238238</v>
      </c>
      <c r="G277" s="14">
        <v>913205</v>
      </c>
      <c r="H277" s="14">
        <v>1636542</v>
      </c>
      <c r="I277" s="14">
        <v>-384586</v>
      </c>
    </row>
    <row r="278" spans="1:9" ht="14.5" customHeight="1" x14ac:dyDescent="0.35">
      <c r="A278" s="12"/>
      <c r="B278" s="82" t="s">
        <v>247</v>
      </c>
      <c r="C278" s="13"/>
      <c r="D278" s="16"/>
      <c r="E278" s="16"/>
      <c r="F278" s="16"/>
      <c r="G278" s="16"/>
      <c r="H278" s="16"/>
      <c r="I278" s="16"/>
    </row>
    <row r="279" spans="1:9" ht="14.5" customHeight="1" x14ac:dyDescent="0.35">
      <c r="A279" s="12"/>
      <c r="B279" s="82" t="s">
        <v>248</v>
      </c>
      <c r="C279" s="13"/>
      <c r="D279" s="16"/>
      <c r="E279" s="16"/>
      <c r="F279" s="16"/>
      <c r="G279" s="16"/>
      <c r="H279" s="16"/>
      <c r="I279" s="16"/>
    </row>
    <row r="280" spans="1:9" ht="14.5" customHeight="1" x14ac:dyDescent="0.35">
      <c r="A280" s="12"/>
      <c r="B280" s="82" t="s">
        <v>249</v>
      </c>
      <c r="C280" s="13"/>
      <c r="D280" s="14">
        <v>0</v>
      </c>
      <c r="E280" s="14">
        <v>0</v>
      </c>
      <c r="F280" s="14">
        <v>0</v>
      </c>
      <c r="G280" s="14">
        <v>0</v>
      </c>
      <c r="H280" s="14">
        <v>0</v>
      </c>
      <c r="I280" s="14">
        <v>0</v>
      </c>
    </row>
    <row r="281" spans="1:9" ht="14.5" customHeight="1" x14ac:dyDescent="0.35">
      <c r="A281" s="12"/>
      <c r="B281" s="15"/>
      <c r="C281" s="15"/>
      <c r="D281" s="15"/>
      <c r="E281" s="15"/>
      <c r="F281" s="15"/>
      <c r="G281" s="15"/>
      <c r="H281" s="15"/>
      <c r="I281" s="15"/>
    </row>
    <row r="282" spans="1:9" ht="14.5" customHeight="1" x14ac:dyDescent="0.35">
      <c r="A282" s="12"/>
      <c r="B282" s="82" t="s">
        <v>250</v>
      </c>
      <c r="C282" s="13"/>
      <c r="D282" s="14">
        <v>2873438</v>
      </c>
      <c r="E282" s="14">
        <v>1405286</v>
      </c>
      <c r="F282" s="14">
        <v>-8394993</v>
      </c>
      <c r="G282" s="14">
        <v>-5536845</v>
      </c>
      <c r="H282" s="14">
        <v>-2931657</v>
      </c>
      <c r="I282" s="14">
        <v>-74134311</v>
      </c>
    </row>
    <row r="283" spans="1:9" ht="14.5" customHeight="1" x14ac:dyDescent="0.35">
      <c r="A283" s="12"/>
      <c r="B283" s="82" t="s">
        <v>251</v>
      </c>
      <c r="C283" s="13"/>
      <c r="D283" s="14">
        <v>45495</v>
      </c>
      <c r="E283" s="14">
        <v>45669</v>
      </c>
      <c r="F283" s="14">
        <v>64802</v>
      </c>
      <c r="G283" s="14">
        <v>27669</v>
      </c>
      <c r="H283" s="14">
        <v>19584</v>
      </c>
      <c r="I283" s="14">
        <v>8053</v>
      </c>
    </row>
    <row r="284" spans="1:9" ht="14.5" customHeight="1" x14ac:dyDescent="0.35">
      <c r="A284" s="12"/>
      <c r="B284" s="82" t="s">
        <v>252</v>
      </c>
      <c r="C284" s="13"/>
      <c r="D284" s="14">
        <v>2827943</v>
      </c>
      <c r="E284" s="14">
        <v>1359617</v>
      </c>
      <c r="F284" s="14">
        <v>-8459795</v>
      </c>
      <c r="G284" s="14">
        <v>-5564514</v>
      </c>
      <c r="H284" s="14">
        <v>-2951241</v>
      </c>
      <c r="I284" s="14">
        <v>-74142364</v>
      </c>
    </row>
    <row r="285" spans="1:9" ht="14.5" customHeight="1" x14ac:dyDescent="0.35">
      <c r="A285" s="12"/>
      <c r="B285" s="15"/>
      <c r="C285" s="15"/>
      <c r="D285" s="15"/>
      <c r="E285" s="15"/>
      <c r="F285" s="15"/>
      <c r="G285" s="15"/>
      <c r="H285" s="15"/>
      <c r="I285" s="15"/>
    </row>
    <row r="286" spans="1:9" ht="14.5" customHeight="1" x14ac:dyDescent="0.35">
      <c r="A286" s="12"/>
      <c r="B286" s="82" t="s">
        <v>253</v>
      </c>
      <c r="C286" s="13"/>
      <c r="D286" s="23">
        <v>370</v>
      </c>
      <c r="E286" s="23">
        <v>405</v>
      </c>
      <c r="F286" s="23">
        <v>472</v>
      </c>
      <c r="G286" s="23">
        <v>583</v>
      </c>
      <c r="H286" s="23">
        <v>658</v>
      </c>
      <c r="I286" s="23">
        <v>756</v>
      </c>
    </row>
    <row r="287" spans="1:9" ht="14.5" customHeight="1" x14ac:dyDescent="0.35">
      <c r="A287" s="12"/>
      <c r="B287" s="15"/>
      <c r="C287" s="15"/>
      <c r="D287" s="15"/>
      <c r="E287" s="15"/>
      <c r="F287" s="15"/>
      <c r="G287" s="15"/>
      <c r="H287" s="15"/>
      <c r="I287" s="15"/>
    </row>
    <row r="288" spans="1:9" ht="14.5" customHeight="1" x14ac:dyDescent="0.35">
      <c r="A288" s="2"/>
    </row>
    <row r="289" spans="1:9" ht="14.5" customHeight="1" x14ac:dyDescent="0.35">
      <c r="A289" s="25" t="s">
        <v>254</v>
      </c>
      <c r="B289" s="78"/>
    </row>
    <row r="290" spans="1:9" ht="14.5" customHeight="1" x14ac:dyDescent="0.35">
      <c r="A290" s="2"/>
    </row>
    <row r="291" spans="1:9" ht="34" customHeight="1" x14ac:dyDescent="0.35">
      <c r="A291" s="3"/>
      <c r="B291" s="86" t="s">
        <v>1</v>
      </c>
      <c r="C291" s="4"/>
      <c r="D291" s="5" t="s">
        <v>7</v>
      </c>
      <c r="E291" s="5" t="s">
        <v>6</v>
      </c>
      <c r="F291" s="5" t="s">
        <v>5</v>
      </c>
      <c r="G291" s="5" t="s">
        <v>4</v>
      </c>
      <c r="H291" s="5" t="s">
        <v>3</v>
      </c>
      <c r="I291" s="5" t="s">
        <v>2</v>
      </c>
    </row>
    <row r="292" spans="1:9" ht="34" customHeight="1" x14ac:dyDescent="0.35">
      <c r="A292" s="6"/>
      <c r="B292" s="7"/>
      <c r="C292" s="7"/>
      <c r="D292" s="8" t="s">
        <v>8</v>
      </c>
      <c r="E292" s="8" t="s">
        <v>8</v>
      </c>
      <c r="F292" s="8" t="s">
        <v>8</v>
      </c>
      <c r="G292" s="8" t="s">
        <v>8</v>
      </c>
      <c r="H292" s="8" t="s">
        <v>8</v>
      </c>
      <c r="I292" s="8" t="s">
        <v>8</v>
      </c>
    </row>
    <row r="293" spans="1:9" ht="14.5" customHeight="1" x14ac:dyDescent="0.35">
      <c r="A293" s="9"/>
      <c r="B293" s="80" t="s">
        <v>255</v>
      </c>
      <c r="C293" s="10"/>
      <c r="D293" s="11"/>
      <c r="E293" s="11"/>
      <c r="F293" s="11"/>
      <c r="G293" s="11"/>
      <c r="H293" s="11"/>
      <c r="I293" s="11"/>
    </row>
    <row r="294" spans="1:9" ht="14.5" customHeight="1" x14ac:dyDescent="0.35">
      <c r="A294" s="12"/>
      <c r="B294" s="15"/>
      <c r="C294" s="15"/>
      <c r="D294" s="15"/>
      <c r="E294" s="15"/>
      <c r="F294" s="15"/>
      <c r="G294" s="15"/>
      <c r="H294" s="15"/>
      <c r="I294" s="15"/>
    </row>
    <row r="295" spans="1:9" ht="14.5" customHeight="1" x14ac:dyDescent="0.35">
      <c r="A295" s="12"/>
      <c r="B295" s="82" t="s">
        <v>256</v>
      </c>
      <c r="C295" s="13"/>
      <c r="D295" s="24">
        <v>0.83</v>
      </c>
      <c r="E295" s="24">
        <v>0.56000000000000005</v>
      </c>
      <c r="F295" s="24">
        <v>0.48</v>
      </c>
      <c r="G295" s="24">
        <v>1.53</v>
      </c>
      <c r="H295" s="24">
        <v>1.04</v>
      </c>
      <c r="I295" s="24">
        <v>0.99</v>
      </c>
    </row>
    <row r="296" spans="1:9" ht="14.5" customHeight="1" x14ac:dyDescent="0.35">
      <c r="A296" s="12"/>
      <c r="B296" s="82" t="s">
        <v>257</v>
      </c>
      <c r="C296" s="13"/>
      <c r="D296" s="24">
        <v>1.25</v>
      </c>
      <c r="E296" s="24">
        <v>0.85</v>
      </c>
      <c r="F296" s="24">
        <v>0.69</v>
      </c>
      <c r="G296" s="24">
        <v>2.31</v>
      </c>
      <c r="H296" s="24">
        <v>1.82</v>
      </c>
      <c r="I296" s="24">
        <v>1.55</v>
      </c>
    </row>
    <row r="297" spans="1:9" ht="14.5" customHeight="1" x14ac:dyDescent="0.35">
      <c r="A297" s="12"/>
      <c r="B297" s="82" t="s">
        <v>258</v>
      </c>
      <c r="C297" s="13"/>
      <c r="D297" s="24">
        <v>0.63</v>
      </c>
      <c r="E297" s="24">
        <v>0.98</v>
      </c>
      <c r="F297" s="24">
        <v>0.93</v>
      </c>
      <c r="G297" s="24">
        <v>0.27</v>
      </c>
      <c r="H297" s="24">
        <v>0.34</v>
      </c>
      <c r="I297" s="24">
        <v>0.41</v>
      </c>
    </row>
    <row r="298" spans="1:9" ht="14.5" customHeight="1" x14ac:dyDescent="0.35">
      <c r="A298" s="12"/>
      <c r="B298" s="82" t="s">
        <v>259</v>
      </c>
      <c r="C298" s="13"/>
      <c r="D298" s="24">
        <v>0.37</v>
      </c>
      <c r="E298" s="24">
        <v>0.02</v>
      </c>
      <c r="F298" s="24">
        <v>7.0000000000000007E-2</v>
      </c>
      <c r="G298" s="24">
        <v>0.73</v>
      </c>
      <c r="H298" s="24">
        <v>0.66</v>
      </c>
      <c r="I298" s="24">
        <v>0.59</v>
      </c>
    </row>
    <row r="299" spans="1:9" ht="14.5" customHeight="1" x14ac:dyDescent="0.35">
      <c r="A299" s="12"/>
      <c r="B299" s="82" t="s">
        <v>260</v>
      </c>
      <c r="C299" s="13"/>
      <c r="D299" s="24">
        <v>0.2</v>
      </c>
      <c r="E299" s="24">
        <v>0.24</v>
      </c>
      <c r="F299" s="24">
        <v>0.04</v>
      </c>
      <c r="G299" s="24">
        <v>0.05</v>
      </c>
      <c r="H299" s="24">
        <v>7.0000000000000007E-2</v>
      </c>
      <c r="I299" s="24">
        <v>0.12</v>
      </c>
    </row>
    <row r="300" spans="1:9" ht="14.5" customHeight="1" x14ac:dyDescent="0.35">
      <c r="A300" s="12"/>
      <c r="B300" s="82" t="s">
        <v>261</v>
      </c>
      <c r="C300" s="13"/>
      <c r="D300" s="16"/>
      <c r="E300" s="16"/>
      <c r="F300" s="16"/>
      <c r="G300" s="16"/>
      <c r="H300" s="16"/>
      <c r="I300" s="16"/>
    </row>
    <row r="301" spans="1:9" ht="14.5" customHeight="1" x14ac:dyDescent="0.35">
      <c r="A301" s="12"/>
      <c r="B301" s="82" t="s">
        <v>262</v>
      </c>
      <c r="C301" s="13"/>
      <c r="D301" s="24">
        <v>6.29</v>
      </c>
      <c r="E301" s="24">
        <v>6.15</v>
      </c>
      <c r="F301" s="24">
        <v>1.94</v>
      </c>
      <c r="G301" s="24">
        <v>2.02</v>
      </c>
      <c r="H301" s="24">
        <v>2.27</v>
      </c>
      <c r="I301" s="24">
        <v>3.44</v>
      </c>
    </row>
    <row r="302" spans="1:9" ht="14.5" customHeight="1" x14ac:dyDescent="0.35">
      <c r="A302" s="12"/>
      <c r="B302" s="82" t="s">
        <v>263</v>
      </c>
      <c r="C302" s="13"/>
      <c r="D302" s="24">
        <v>1.27</v>
      </c>
      <c r="E302" s="24">
        <v>0.55000000000000004</v>
      </c>
      <c r="F302" s="24">
        <v>0.79</v>
      </c>
      <c r="G302" s="24">
        <v>1.23</v>
      </c>
      <c r="H302" s="24">
        <v>1.18</v>
      </c>
      <c r="I302" s="24">
        <v>1.21</v>
      </c>
    </row>
    <row r="303" spans="1:9" ht="14.5" customHeight="1" x14ac:dyDescent="0.35">
      <c r="A303" s="12"/>
      <c r="B303" s="82" t="s">
        <v>264</v>
      </c>
      <c r="C303" s="13"/>
      <c r="D303" s="24">
        <v>37.119999999999997</v>
      </c>
      <c r="E303" s="24">
        <v>36.56</v>
      </c>
      <c r="F303" s="24">
        <v>69.319999999999993</v>
      </c>
      <c r="G303" s="24">
        <v>97.29</v>
      </c>
      <c r="H303" s="24">
        <v>86.35</v>
      </c>
      <c r="I303" s="24">
        <v>68.16</v>
      </c>
    </row>
    <row r="304" spans="1:9" ht="14.5" customHeight="1" x14ac:dyDescent="0.35">
      <c r="A304" s="12"/>
      <c r="B304" s="82" t="s">
        <v>265</v>
      </c>
      <c r="C304" s="13"/>
      <c r="D304" s="24">
        <v>2.88</v>
      </c>
      <c r="E304" s="24">
        <v>2.6</v>
      </c>
      <c r="F304" s="24">
        <v>4.62</v>
      </c>
      <c r="G304" s="24">
        <v>4.83</v>
      </c>
      <c r="H304" s="24">
        <v>4.54</v>
      </c>
      <c r="I304" s="24">
        <v>5.08</v>
      </c>
    </row>
    <row r="305" spans="1:9" ht="14.5" customHeight="1" x14ac:dyDescent="0.35">
      <c r="A305" s="12"/>
      <c r="B305" s="82" t="s">
        <v>266</v>
      </c>
      <c r="C305" s="13"/>
      <c r="D305" s="24">
        <v>11.74</v>
      </c>
      <c r="E305" s="24">
        <v>10.52</v>
      </c>
      <c r="F305" s="24">
        <v>4.3</v>
      </c>
      <c r="G305" s="24">
        <v>1.42</v>
      </c>
      <c r="H305" s="24">
        <v>1.34</v>
      </c>
      <c r="I305" s="16"/>
    </row>
    <row r="306" spans="1:9" ht="14.5" customHeight="1" x14ac:dyDescent="0.35">
      <c r="A306" s="12"/>
      <c r="B306" s="82" t="s">
        <v>267</v>
      </c>
      <c r="C306" s="13"/>
      <c r="D306" s="24">
        <v>1.07</v>
      </c>
      <c r="E306" s="24">
        <v>0.95</v>
      </c>
      <c r="F306" s="24">
        <v>3.2</v>
      </c>
      <c r="G306" s="24">
        <v>4.6900000000000004</v>
      </c>
      <c r="H306" s="24">
        <v>3.92</v>
      </c>
      <c r="I306" s="24">
        <v>3.46</v>
      </c>
    </row>
    <row r="307" spans="1:9" ht="14.5" customHeight="1" x14ac:dyDescent="0.35">
      <c r="A307" s="12"/>
      <c r="B307" s="82" t="s">
        <v>268</v>
      </c>
      <c r="C307" s="13"/>
      <c r="D307" s="24">
        <v>15.9</v>
      </c>
      <c r="E307" s="24">
        <v>16.260000000000002</v>
      </c>
      <c r="F307" s="24">
        <v>51.5</v>
      </c>
      <c r="G307" s="24">
        <v>49.49</v>
      </c>
      <c r="H307" s="24">
        <v>44.01</v>
      </c>
      <c r="I307" s="24">
        <v>29.1</v>
      </c>
    </row>
    <row r="308" spans="1:9" ht="14.5" customHeight="1" x14ac:dyDescent="0.35">
      <c r="A308" s="12"/>
      <c r="B308" s="82" t="s">
        <v>269</v>
      </c>
      <c r="C308" s="13"/>
      <c r="D308" s="24">
        <v>0.2</v>
      </c>
      <c r="E308" s="24">
        <v>0.2</v>
      </c>
      <c r="F308" s="24">
        <v>1.08</v>
      </c>
      <c r="G308" s="24">
        <v>1.01</v>
      </c>
      <c r="H308" s="24">
        <v>0.83</v>
      </c>
      <c r="I308" s="24">
        <v>0.43</v>
      </c>
    </row>
    <row r="309" spans="1:9" ht="14.5" customHeight="1" x14ac:dyDescent="0.35">
      <c r="A309" s="12"/>
      <c r="B309" s="82" t="s">
        <v>270</v>
      </c>
      <c r="C309" s="13"/>
      <c r="D309" s="24">
        <v>34745168</v>
      </c>
      <c r="E309" s="24">
        <v>40503814</v>
      </c>
      <c r="F309" s="24">
        <v>72641963</v>
      </c>
      <c r="G309" s="24">
        <v>79171344</v>
      </c>
      <c r="H309" s="24">
        <v>98599103</v>
      </c>
      <c r="I309" s="24">
        <v>99107876</v>
      </c>
    </row>
    <row r="310" spans="1:9" ht="14.5" customHeight="1" x14ac:dyDescent="0.35">
      <c r="A310" s="12"/>
      <c r="B310" s="82" t="s">
        <v>271</v>
      </c>
      <c r="C310" s="13"/>
      <c r="D310" s="24">
        <v>3.06</v>
      </c>
      <c r="E310" s="24">
        <v>3.03</v>
      </c>
      <c r="F310" s="24">
        <v>0.66</v>
      </c>
      <c r="G310" s="24">
        <v>0.77</v>
      </c>
      <c r="H310" s="24">
        <v>0.86</v>
      </c>
      <c r="I310" s="24">
        <v>1.53</v>
      </c>
    </row>
    <row r="311" spans="1:9" ht="14.5" customHeight="1" x14ac:dyDescent="0.35">
      <c r="A311" s="12"/>
      <c r="B311" s="82" t="s">
        <v>272</v>
      </c>
      <c r="C311" s="13"/>
      <c r="D311" s="24">
        <v>3.19</v>
      </c>
      <c r="E311" s="24">
        <v>4.0599999999999996</v>
      </c>
      <c r="F311" s="24">
        <v>5.08</v>
      </c>
      <c r="G311" s="24">
        <v>14.61</v>
      </c>
      <c r="H311" s="24">
        <v>16.43</v>
      </c>
      <c r="I311" s="24">
        <v>-14.29</v>
      </c>
    </row>
    <row r="312" spans="1:9" ht="14.5" customHeight="1" x14ac:dyDescent="0.35">
      <c r="A312" s="12"/>
      <c r="B312" s="15"/>
      <c r="C312" s="15"/>
      <c r="D312" s="15"/>
      <c r="E312" s="15"/>
      <c r="F312" s="15"/>
      <c r="G312" s="15"/>
      <c r="H312" s="15"/>
      <c r="I312" s="15"/>
    </row>
    <row r="313" spans="1:9" ht="14.5" customHeight="1" x14ac:dyDescent="0.35">
      <c r="A313" s="9"/>
      <c r="B313" s="80" t="s">
        <v>273</v>
      </c>
      <c r="C313" s="10"/>
      <c r="D313" s="11"/>
      <c r="E313" s="11"/>
      <c r="F313" s="11"/>
      <c r="G313" s="11"/>
      <c r="H313" s="11"/>
      <c r="I313" s="11"/>
    </row>
    <row r="314" spans="1:9" ht="14.5" customHeight="1" x14ac:dyDescent="0.35">
      <c r="A314" s="12"/>
      <c r="B314" s="15"/>
      <c r="C314" s="15"/>
      <c r="D314" s="15"/>
      <c r="E314" s="15"/>
      <c r="F314" s="15"/>
      <c r="G314" s="15"/>
      <c r="H314" s="15"/>
      <c r="I314" s="15"/>
    </row>
    <row r="315" spans="1:9" ht="14.5" customHeight="1" x14ac:dyDescent="0.35">
      <c r="A315" s="12"/>
      <c r="B315" s="82" t="s">
        <v>274</v>
      </c>
      <c r="C315" s="13"/>
      <c r="D315" s="24">
        <v>1.2</v>
      </c>
      <c r="E315" s="24">
        <v>1.2</v>
      </c>
      <c r="F315" s="24">
        <v>0.48</v>
      </c>
      <c r="G315" s="24">
        <v>0.38</v>
      </c>
      <c r="H315" s="24">
        <v>0.43</v>
      </c>
      <c r="I315" s="24">
        <v>0.63</v>
      </c>
    </row>
    <row r="316" spans="1:9" ht="14.5" customHeight="1" x14ac:dyDescent="0.35">
      <c r="A316" s="12"/>
      <c r="B316" s="82" t="s">
        <v>275</v>
      </c>
      <c r="C316" s="13"/>
      <c r="D316" s="24">
        <v>1.88</v>
      </c>
      <c r="E316" s="24">
        <v>1.81</v>
      </c>
      <c r="F316" s="24">
        <v>1.59</v>
      </c>
      <c r="G316" s="24">
        <v>1.23</v>
      </c>
      <c r="H316" s="24">
        <v>1.3</v>
      </c>
      <c r="I316" s="24">
        <v>1.49</v>
      </c>
    </row>
    <row r="317" spans="1:9" ht="14.5" customHeight="1" x14ac:dyDescent="0.35">
      <c r="A317" s="12"/>
      <c r="B317" s="82" t="s">
        <v>276</v>
      </c>
      <c r="C317" s="13"/>
      <c r="D317" s="24">
        <v>23.82</v>
      </c>
      <c r="E317" s="24">
        <v>28.14</v>
      </c>
      <c r="F317" s="24">
        <v>24.75</v>
      </c>
      <c r="G317" s="24">
        <v>26.38</v>
      </c>
      <c r="H317" s="24">
        <v>28.84</v>
      </c>
      <c r="I317" s="24">
        <v>21.84</v>
      </c>
    </row>
    <row r="318" spans="1:9" ht="14.5" customHeight="1" x14ac:dyDescent="0.35">
      <c r="A318" s="12"/>
      <c r="B318" s="82" t="s">
        <v>277</v>
      </c>
      <c r="C318" s="13"/>
      <c r="D318" s="24">
        <v>63.65</v>
      </c>
      <c r="E318" s="24">
        <v>68.959999999999994</v>
      </c>
      <c r="F318" s="24">
        <v>67.41</v>
      </c>
      <c r="G318" s="24">
        <v>96.11</v>
      </c>
      <c r="H318" s="24">
        <v>115.15</v>
      </c>
      <c r="I318" s="24">
        <v>84.73</v>
      </c>
    </row>
    <row r="319" spans="1:9" ht="14.5" customHeight="1" x14ac:dyDescent="0.35">
      <c r="A319" s="12"/>
      <c r="B319" s="82" t="s">
        <v>278</v>
      </c>
      <c r="C319" s="13"/>
      <c r="D319" s="24">
        <v>127.36</v>
      </c>
      <c r="E319" s="24">
        <v>139.53</v>
      </c>
      <c r="F319" s="24">
        <v>140.62</v>
      </c>
      <c r="G319" s="24">
        <v>207.51</v>
      </c>
      <c r="H319" s="24">
        <v>224.37</v>
      </c>
      <c r="I319" s="24">
        <v>154.01</v>
      </c>
    </row>
    <row r="320" spans="1:9" ht="14.5" customHeight="1" x14ac:dyDescent="0.35">
      <c r="A320" s="12"/>
      <c r="B320" s="82" t="s">
        <v>279</v>
      </c>
      <c r="C320" s="13"/>
      <c r="D320" s="24">
        <v>98.93</v>
      </c>
      <c r="E320" s="24">
        <v>108.47</v>
      </c>
      <c r="F320" s="24">
        <v>103.02</v>
      </c>
      <c r="G320" s="24">
        <v>84.41</v>
      </c>
      <c r="H320" s="24">
        <v>92.03</v>
      </c>
      <c r="I320" s="24">
        <v>77.45</v>
      </c>
    </row>
    <row r="321" spans="1:9" ht="14.5" customHeight="1" x14ac:dyDescent="0.35">
      <c r="A321" s="12"/>
      <c r="B321" s="82" t="s">
        <v>280</v>
      </c>
      <c r="C321" s="13"/>
      <c r="D321" s="24">
        <v>101.51</v>
      </c>
      <c r="E321" s="24">
        <v>102.46</v>
      </c>
      <c r="F321" s="24">
        <v>116.81</v>
      </c>
      <c r="G321" s="24">
        <v>119.17</v>
      </c>
      <c r="H321" s="24">
        <v>141.4</v>
      </c>
      <c r="I321" s="24">
        <v>113.16</v>
      </c>
    </row>
    <row r="322" spans="1:9" ht="14.5" customHeight="1" x14ac:dyDescent="0.35">
      <c r="A322" s="12"/>
      <c r="B322" s="82" t="s">
        <v>281</v>
      </c>
      <c r="C322" s="13"/>
      <c r="D322" s="24">
        <v>124.78</v>
      </c>
      <c r="E322" s="24">
        <v>145.54</v>
      </c>
      <c r="F322" s="24">
        <v>126.83</v>
      </c>
      <c r="G322" s="24">
        <v>172.75</v>
      </c>
      <c r="H322" s="24">
        <v>175</v>
      </c>
      <c r="I322" s="24">
        <v>118.31</v>
      </c>
    </row>
    <row r="323" spans="1:9" ht="14.5" customHeight="1" x14ac:dyDescent="0.35">
      <c r="A323" s="12"/>
      <c r="B323" s="15"/>
      <c r="C323" s="15"/>
      <c r="D323" s="15"/>
      <c r="E323" s="15"/>
      <c r="F323" s="15"/>
      <c r="G323" s="15"/>
      <c r="H323" s="15"/>
      <c r="I323" s="15"/>
    </row>
    <row r="324" spans="1:9" ht="14.5" customHeight="1" x14ac:dyDescent="0.35">
      <c r="A324" s="9"/>
      <c r="B324" s="80" t="s">
        <v>282</v>
      </c>
      <c r="C324" s="10"/>
      <c r="D324" s="11"/>
      <c r="E324" s="11"/>
      <c r="F324" s="11"/>
      <c r="G324" s="11"/>
      <c r="H324" s="11"/>
      <c r="I324" s="11"/>
    </row>
    <row r="325" spans="1:9" ht="14.5" customHeight="1" x14ac:dyDescent="0.35">
      <c r="A325" s="12"/>
      <c r="B325" s="15"/>
      <c r="C325" s="15"/>
      <c r="D325" s="15"/>
      <c r="E325" s="15"/>
      <c r="F325" s="15"/>
      <c r="G325" s="15"/>
      <c r="H325" s="15"/>
      <c r="I325" s="15"/>
    </row>
    <row r="326" spans="1:9" ht="14.5" customHeight="1" x14ac:dyDescent="0.35">
      <c r="A326" s="12"/>
      <c r="B326" s="82" t="s">
        <v>283</v>
      </c>
      <c r="C326" s="13"/>
      <c r="D326" s="14">
        <v>12807746</v>
      </c>
      <c r="E326" s="14">
        <v>10999593</v>
      </c>
      <c r="F326" s="14">
        <v>16999511</v>
      </c>
      <c r="G326" s="14">
        <v>7097676</v>
      </c>
      <c r="H326" s="14">
        <v>6810677</v>
      </c>
      <c r="I326" s="14">
        <v>-8210845</v>
      </c>
    </row>
    <row r="327" spans="1:9" ht="14.5" customHeight="1" x14ac:dyDescent="0.35">
      <c r="A327" s="12"/>
      <c r="B327" s="82" t="s">
        <v>284</v>
      </c>
      <c r="C327" s="13"/>
      <c r="D327" s="24">
        <v>12.57</v>
      </c>
      <c r="E327" s="24">
        <v>10.02</v>
      </c>
      <c r="F327" s="24">
        <v>13.77</v>
      </c>
      <c r="G327" s="24">
        <v>6.69</v>
      </c>
      <c r="H327" s="24">
        <v>5.26</v>
      </c>
      <c r="I327" s="24">
        <v>-4.8600000000000003</v>
      </c>
    </row>
    <row r="328" spans="1:9" ht="14.5" customHeight="1" x14ac:dyDescent="0.35">
      <c r="A328" s="12"/>
      <c r="B328" s="82" t="s">
        <v>285</v>
      </c>
      <c r="C328" s="13"/>
      <c r="D328" s="24">
        <v>8.2799999999999994</v>
      </c>
      <c r="E328" s="24">
        <v>5.41</v>
      </c>
      <c r="F328" s="24">
        <v>-0.8</v>
      </c>
      <c r="G328" s="24">
        <v>0.72</v>
      </c>
      <c r="H328" s="24">
        <v>1.05</v>
      </c>
      <c r="I328" s="24">
        <v>-25.72</v>
      </c>
    </row>
    <row r="329" spans="1:9" ht="14.5" customHeight="1" x14ac:dyDescent="0.35">
      <c r="A329" s="12"/>
      <c r="B329" s="82" t="s">
        <v>286</v>
      </c>
      <c r="C329" s="13"/>
      <c r="D329" s="24">
        <v>12.84</v>
      </c>
      <c r="E329" s="24">
        <v>8.26</v>
      </c>
      <c r="F329" s="24">
        <v>-0.94</v>
      </c>
      <c r="G329" s="24">
        <v>0.82</v>
      </c>
      <c r="H329" s="24">
        <v>1.27</v>
      </c>
      <c r="I329" s="16"/>
    </row>
    <row r="330" spans="1:9" ht="14.5" customHeight="1" x14ac:dyDescent="0.35">
      <c r="A330" s="12"/>
      <c r="B330" s="82" t="s">
        <v>287</v>
      </c>
      <c r="C330" s="13"/>
      <c r="D330" s="24">
        <v>6.82</v>
      </c>
      <c r="E330" s="24">
        <v>4.47</v>
      </c>
      <c r="F330" s="24">
        <v>-1.64</v>
      </c>
      <c r="G330" s="24">
        <v>1.83</v>
      </c>
      <c r="H330" s="24">
        <v>2.38</v>
      </c>
      <c r="I330" s="24">
        <v>-40.18</v>
      </c>
    </row>
    <row r="331" spans="1:9" ht="14.5" customHeight="1" x14ac:dyDescent="0.35">
      <c r="A331" s="12"/>
      <c r="B331" s="82" t="s">
        <v>288</v>
      </c>
      <c r="C331" s="13"/>
      <c r="D331" s="24">
        <v>21.53</v>
      </c>
      <c r="E331" s="24">
        <v>9.5299999999999994</v>
      </c>
      <c r="F331" s="24">
        <v>-6.45</v>
      </c>
      <c r="G331" s="24">
        <v>-4.1100000000000003</v>
      </c>
      <c r="H331" s="24">
        <v>-2.27</v>
      </c>
      <c r="I331" s="24">
        <v>-96.6</v>
      </c>
    </row>
    <row r="332" spans="1:9" ht="14.5" customHeight="1" x14ac:dyDescent="0.35">
      <c r="A332" s="12"/>
      <c r="B332" s="82" t="s">
        <v>289</v>
      </c>
      <c r="C332" s="13"/>
      <c r="D332" s="24">
        <v>41.32</v>
      </c>
      <c r="E332" s="24">
        <v>28.62</v>
      </c>
      <c r="F332" s="16"/>
      <c r="G332" s="24">
        <v>-284.58999999999997</v>
      </c>
      <c r="H332" s="24">
        <v>-95.36</v>
      </c>
      <c r="I332" s="16"/>
    </row>
    <row r="333" spans="1:9" ht="14.5" customHeight="1" x14ac:dyDescent="0.35">
      <c r="A333" s="12"/>
      <c r="B333" s="15"/>
      <c r="C333" s="15"/>
      <c r="D333" s="15"/>
      <c r="E333" s="15"/>
      <c r="F333" s="15"/>
      <c r="G333" s="15"/>
      <c r="H333" s="15"/>
      <c r="I333" s="15"/>
    </row>
    <row r="334" spans="1:9" ht="14.5" customHeight="1" x14ac:dyDescent="0.35">
      <c r="A334" s="9"/>
      <c r="B334" s="80" t="s">
        <v>290</v>
      </c>
      <c r="C334" s="10"/>
      <c r="D334" s="11"/>
      <c r="E334" s="11"/>
      <c r="F334" s="11"/>
      <c r="G334" s="11"/>
      <c r="H334" s="11"/>
      <c r="I334" s="11"/>
    </row>
    <row r="335" spans="1:9" ht="14.5" customHeight="1" x14ac:dyDescent="0.35">
      <c r="A335" s="12"/>
      <c r="B335" s="15"/>
      <c r="C335" s="15"/>
      <c r="D335" s="15"/>
      <c r="E335" s="15"/>
      <c r="F335" s="15"/>
      <c r="G335" s="15"/>
      <c r="H335" s="15"/>
      <c r="I335" s="15"/>
    </row>
    <row r="336" spans="1:9" ht="14.5" customHeight="1" x14ac:dyDescent="0.35">
      <c r="A336" s="12"/>
      <c r="B336" s="82" t="s">
        <v>291</v>
      </c>
      <c r="C336" s="13"/>
      <c r="D336" s="23">
        <v>370</v>
      </c>
      <c r="E336" s="23">
        <v>405</v>
      </c>
      <c r="F336" s="23">
        <v>472</v>
      </c>
      <c r="G336" s="23">
        <v>583</v>
      </c>
      <c r="H336" s="23">
        <v>658</v>
      </c>
      <c r="I336" s="23">
        <v>756</v>
      </c>
    </row>
    <row r="337" spans="1:9" ht="14.5" customHeight="1" x14ac:dyDescent="0.35">
      <c r="A337" s="12"/>
      <c r="B337" s="82" t="s">
        <v>292</v>
      </c>
      <c r="C337" s="13"/>
      <c r="D337" s="23">
        <v>275430</v>
      </c>
      <c r="E337" s="23">
        <v>271130</v>
      </c>
      <c r="F337" s="23">
        <v>261480</v>
      </c>
      <c r="G337" s="23">
        <v>182010</v>
      </c>
      <c r="H337" s="23">
        <v>196680</v>
      </c>
      <c r="I337" s="23">
        <v>223290</v>
      </c>
    </row>
    <row r="338" spans="1:9" ht="14.5" customHeight="1" x14ac:dyDescent="0.35">
      <c r="A338" s="12"/>
      <c r="B338" s="82" t="s">
        <v>293</v>
      </c>
      <c r="C338" s="13"/>
      <c r="D338" s="23">
        <v>82300</v>
      </c>
      <c r="E338" s="23">
        <v>79240</v>
      </c>
      <c r="F338" s="23">
        <v>83620</v>
      </c>
      <c r="G338" s="23">
        <v>57130</v>
      </c>
      <c r="H338" s="23">
        <v>57700</v>
      </c>
      <c r="I338" s="23">
        <v>46380</v>
      </c>
    </row>
    <row r="339" spans="1:9" ht="14.5" customHeight="1" x14ac:dyDescent="0.35">
      <c r="A339" s="12"/>
      <c r="B339" s="82" t="s">
        <v>294</v>
      </c>
      <c r="C339" s="13"/>
      <c r="D339" s="24">
        <v>47010</v>
      </c>
      <c r="E339" s="24">
        <v>50110</v>
      </c>
      <c r="F339" s="24">
        <v>47220</v>
      </c>
      <c r="G339" s="24">
        <v>44950</v>
      </c>
      <c r="H339" s="24">
        <v>47350</v>
      </c>
      <c r="I339" s="24">
        <v>57240</v>
      </c>
    </row>
    <row r="340" spans="1:9" ht="14.5" customHeight="1" x14ac:dyDescent="0.35">
      <c r="A340" s="12"/>
      <c r="B340" s="82" t="s">
        <v>295</v>
      </c>
      <c r="C340" s="13"/>
      <c r="D340" s="24">
        <v>5.86</v>
      </c>
      <c r="E340" s="24">
        <v>5.41</v>
      </c>
      <c r="F340" s="24">
        <v>5.54</v>
      </c>
      <c r="G340" s="24">
        <v>4.05</v>
      </c>
      <c r="H340" s="24">
        <v>4.1500000000000004</v>
      </c>
      <c r="I340" s="24">
        <v>3.9</v>
      </c>
    </row>
    <row r="341" spans="1:9" ht="14.5" customHeight="1" x14ac:dyDescent="0.35">
      <c r="A341" s="12"/>
      <c r="B341" s="15"/>
      <c r="C341" s="15"/>
      <c r="D341" s="15"/>
      <c r="E341" s="15"/>
      <c r="F341" s="15"/>
      <c r="G341" s="15"/>
      <c r="H341" s="15"/>
      <c r="I341" s="15"/>
    </row>
    <row r="342" spans="1:9" ht="14.5" customHeight="1" x14ac:dyDescent="0.35">
      <c r="A342" s="9"/>
      <c r="B342" s="80" t="s">
        <v>296</v>
      </c>
      <c r="C342" s="10"/>
      <c r="D342" s="11"/>
      <c r="E342" s="11"/>
      <c r="F342" s="11"/>
      <c r="G342" s="11"/>
      <c r="H342" s="11"/>
      <c r="I342" s="11"/>
    </row>
    <row r="343" spans="1:9" ht="14.5" customHeight="1" x14ac:dyDescent="0.35">
      <c r="A343" s="12"/>
      <c r="B343" s="15"/>
      <c r="C343" s="15"/>
      <c r="D343" s="15"/>
      <c r="E343" s="15"/>
      <c r="F343" s="15"/>
      <c r="G343" s="15"/>
      <c r="H343" s="15"/>
      <c r="I343" s="15"/>
    </row>
    <row r="344" spans="1:9" ht="14.5" customHeight="1" x14ac:dyDescent="0.35">
      <c r="A344" s="12"/>
      <c r="B344" s="82" t="s">
        <v>297</v>
      </c>
      <c r="C344" s="13"/>
      <c r="D344" s="14">
        <v>10538196</v>
      </c>
      <c r="E344" s="14">
        <v>-10783417</v>
      </c>
      <c r="F344" s="14">
        <v>-34932037</v>
      </c>
      <c r="G344" s="14">
        <v>47167824</v>
      </c>
      <c r="H344" s="14">
        <v>43439348</v>
      </c>
      <c r="I344" s="14">
        <v>39717640</v>
      </c>
    </row>
    <row r="345" spans="1:9" ht="14.5" customHeight="1" x14ac:dyDescent="0.35">
      <c r="A345" s="12"/>
      <c r="B345" s="82" t="s">
        <v>298</v>
      </c>
      <c r="C345" s="13"/>
      <c r="D345" s="14">
        <v>52312037</v>
      </c>
      <c r="E345" s="14">
        <v>55111582</v>
      </c>
      <c r="F345" s="14">
        <v>64157078</v>
      </c>
      <c r="G345" s="14">
        <v>54967496</v>
      </c>
      <c r="H345" s="14">
        <v>61728787</v>
      </c>
      <c r="I345" s="14">
        <v>72196832</v>
      </c>
    </row>
    <row r="346" spans="1:9" ht="14.5" customHeight="1" x14ac:dyDescent="0.35">
      <c r="A346" s="12"/>
      <c r="B346" s="82" t="s">
        <v>299</v>
      </c>
      <c r="C346" s="13"/>
      <c r="D346" s="14">
        <v>-8785654</v>
      </c>
      <c r="E346" s="14">
        <v>-33958325</v>
      </c>
      <c r="F346" s="14">
        <v>-62343700</v>
      </c>
      <c r="G346" s="14">
        <v>14326703</v>
      </c>
      <c r="H346" s="14">
        <v>-5242622</v>
      </c>
      <c r="I346" s="14">
        <v>-13163900</v>
      </c>
    </row>
    <row r="347" spans="1:9" ht="14.5" customHeight="1" x14ac:dyDescent="0.35">
      <c r="A347" s="12"/>
      <c r="B347" s="82" t="s">
        <v>300</v>
      </c>
      <c r="C347" s="13"/>
      <c r="D347" s="14">
        <v>-16766590</v>
      </c>
      <c r="E347" s="14">
        <v>-14965666</v>
      </c>
      <c r="F347" s="14">
        <v>-44731214</v>
      </c>
      <c r="G347" s="14">
        <v>-53339320</v>
      </c>
      <c r="H347" s="14">
        <v>-66272149</v>
      </c>
      <c r="I347" s="14">
        <v>-74205490</v>
      </c>
    </row>
    <row r="348" spans="1:9" ht="14.5" customHeight="1" x14ac:dyDescent="0.35">
      <c r="A348" s="12"/>
      <c r="B348" s="82" t="s">
        <v>301</v>
      </c>
      <c r="C348" s="13"/>
      <c r="D348" s="24">
        <v>8681717</v>
      </c>
      <c r="E348" s="24">
        <v>7448851</v>
      </c>
      <c r="F348" s="24">
        <v>10568134</v>
      </c>
      <c r="G348" s="24">
        <v>-412379</v>
      </c>
      <c r="H348" s="24">
        <v>785178</v>
      </c>
      <c r="I348" s="24">
        <v>-14522259</v>
      </c>
    </row>
    <row r="349" spans="1:9" ht="14.5" customHeight="1" x14ac:dyDescent="0.35">
      <c r="A349" s="12"/>
      <c r="B349" s="15"/>
      <c r="C349" s="15"/>
      <c r="D349" s="15"/>
      <c r="E349" s="15"/>
      <c r="F349" s="15"/>
      <c r="G349" s="15"/>
      <c r="H349" s="15"/>
      <c r="I34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Reclassified BS</vt:lpstr>
      <vt:lpstr>Profit&amp;Loss</vt:lpstr>
      <vt:lpstr>CashFlow</vt:lpstr>
      <vt:lpstr>Ratios</vt:lpstr>
      <vt:lpstr>Pool Bank Debt</vt:lpstr>
      <vt:lpstr>NetDebt</vt:lpstr>
      <vt:lpstr>AIDA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HAMZA AIT MOUSSA</cp:lastModifiedBy>
  <dcterms:modified xsi:type="dcterms:W3CDTF">2024-02-26T16:26:06Z</dcterms:modified>
</cp:coreProperties>
</file>